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P:\GOBIERNO Y ANALISIS DE DATOS\14. Actualización tarifaria\Cargos de acceso\IAT\"/>
    </mc:Choice>
  </mc:AlternateContent>
  <xr:revisionPtr revIDLastSave="0" documentId="13_ncr:1_{4774351A-9063-4EC4-8E6D-8DB5820C5FB2}" xr6:coauthVersionLast="45" xr6:coauthVersionMax="45" xr10:uidLastSave="{00000000-0000-0000-0000-000000000000}"/>
  <bookViews>
    <workbookView xWindow="-120" yWindow="-120" windowWidth="29040" windowHeight="15840" tabRatio="708" activeTab="1" xr2:uid="{00000000-000D-0000-FFFF-FFFF00000000}"/>
  </bookViews>
  <sheets>
    <sheet name="CA antes de Res 1763 de 2007" sheetId="1" r:id="rId1"/>
    <sheet name="CA despues de Res 1763 de 2007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143" i="13" l="1"/>
  <c r="AU155" i="13" s="1"/>
  <c r="AV131" i="13"/>
  <c r="AV132" i="13" s="1"/>
  <c r="AV133" i="13" s="1"/>
  <c r="AV134" i="13" s="1"/>
  <c r="AV135" i="13" s="1"/>
  <c r="AV136" i="13" s="1"/>
  <c r="BD132" i="13"/>
  <c r="BD133" i="13" s="1"/>
  <c r="BD134" i="13" s="1"/>
  <c r="BD135" i="13" s="1"/>
  <c r="BD136" i="13" s="1"/>
  <c r="BD137" i="13" s="1"/>
  <c r="AU167" i="13" l="1"/>
  <c r="AV137" i="13"/>
  <c r="AV139" i="13" s="1"/>
  <c r="AV140" i="13" s="1"/>
  <c r="AV141" i="13" s="1"/>
  <c r="AV142" i="13" s="1"/>
  <c r="AV138" i="13"/>
  <c r="BD138" i="13"/>
  <c r="BD139" i="13"/>
  <c r="BD140" i="13" s="1"/>
  <c r="BD141" i="13" s="1"/>
  <c r="BD142" i="13" s="1"/>
  <c r="E162" i="13"/>
  <c r="E163" i="13"/>
  <c r="E164" i="13"/>
  <c r="E165" i="13"/>
  <c r="E166" i="13"/>
  <c r="F163" i="13" l="1"/>
  <c r="F165" i="13"/>
  <c r="F166" i="13"/>
  <c r="F164" i="13"/>
  <c r="BA155" i="13"/>
  <c r="BA167" i="13" s="1"/>
  <c r="AX155" i="13"/>
  <c r="AX167" i="13" s="1"/>
  <c r="E161" i="13" l="1"/>
  <c r="F162" i="13" s="1"/>
  <c r="E159" i="13" l="1"/>
  <c r="E160" i="13"/>
  <c r="F160" i="13" l="1"/>
  <c r="F161" i="13"/>
  <c r="E158" i="13"/>
  <c r="E157" i="13"/>
  <c r="E156" i="13"/>
  <c r="E155" i="13"/>
  <c r="Z167" i="13" l="1"/>
  <c r="Z168" i="13" s="1"/>
  <c r="Z169" i="13" s="1"/>
  <c r="Z170" i="13" s="1"/>
  <c r="Z171" i="13" s="1"/>
  <c r="Z172" i="13" s="1"/>
  <c r="Z173" i="13" s="1"/>
  <c r="Z174" i="13" s="1"/>
  <c r="Z175" i="13" s="1"/>
  <c r="Z176" i="13" s="1"/>
  <c r="Z177" i="13" s="1"/>
  <c r="Z178" i="13" s="1"/>
  <c r="W167" i="13"/>
  <c r="W168" i="13" s="1"/>
  <c r="W169" i="13" s="1"/>
  <c r="W170" i="13" s="1"/>
  <c r="W171" i="13" s="1"/>
  <c r="W172" i="13" s="1"/>
  <c r="W173" i="13" s="1"/>
  <c r="W174" i="13" s="1"/>
  <c r="W175" i="13" s="1"/>
  <c r="W176" i="13" s="1"/>
  <c r="W177" i="13" s="1"/>
  <c r="W178" i="13" s="1"/>
  <c r="F157" i="13"/>
  <c r="F156" i="13"/>
  <c r="F158" i="13"/>
  <c r="F159" i="13"/>
  <c r="E154" i="13" l="1"/>
  <c r="AL159" i="13"/>
  <c r="AL158" i="13"/>
  <c r="AL157" i="13"/>
  <c r="AL161" i="13" s="1"/>
  <c r="AL156" i="13"/>
  <c r="AL160" i="13" s="1"/>
  <c r="F155" i="13" l="1"/>
  <c r="E153" i="13"/>
  <c r="F154" i="13" l="1"/>
  <c r="E152" i="13" l="1"/>
  <c r="F153" i="13" s="1"/>
  <c r="E151" i="13"/>
  <c r="E150" i="13"/>
  <c r="E149" i="13"/>
  <c r="E148" i="13"/>
  <c r="E147" i="13"/>
  <c r="E146" i="13"/>
  <c r="F149" i="13" l="1"/>
  <c r="F150" i="13"/>
  <c r="F151" i="13"/>
  <c r="F152" i="13"/>
  <c r="F147" i="13"/>
  <c r="E145" i="13"/>
  <c r="F146" i="13" s="1"/>
  <c r="F148" i="13" l="1"/>
  <c r="E144" i="13"/>
  <c r="E143" i="13"/>
  <c r="F144" i="13" l="1"/>
  <c r="F145" i="13"/>
  <c r="AE143" i="13" l="1"/>
  <c r="AE155" i="13" s="1"/>
  <c r="AE167" i="13" s="1"/>
  <c r="E142" i="13" l="1"/>
  <c r="E141" i="13"/>
  <c r="E140" i="13"/>
  <c r="AL154" i="13"/>
  <c r="AL147" i="13"/>
  <c r="AL151" i="13" s="1"/>
  <c r="AL146" i="13"/>
  <c r="AL150" i="13" s="1"/>
  <c r="AL145" i="13"/>
  <c r="AL149" i="13" s="1"/>
  <c r="AL153" i="13" s="1"/>
  <c r="AL144" i="13"/>
  <c r="AL148" i="13" s="1"/>
  <c r="AL152" i="13" s="1"/>
  <c r="F141" i="13" l="1"/>
  <c r="F143" i="13"/>
  <c r="F142" i="13"/>
  <c r="E139" i="13"/>
  <c r="F140" i="13" l="1"/>
  <c r="E137" i="13" l="1"/>
  <c r="E136" i="13"/>
  <c r="E135" i="13"/>
  <c r="E134" i="13"/>
  <c r="E133" i="13"/>
  <c r="E132" i="13"/>
  <c r="E131" i="13"/>
  <c r="E130" i="13"/>
  <c r="E129" i="13"/>
  <c r="E128" i="13"/>
  <c r="AL130" i="13"/>
  <c r="AV167" i="13" l="1"/>
  <c r="AV155" i="13"/>
  <c r="AV143" i="13"/>
  <c r="AV144" i="13" s="1"/>
  <c r="AV145" i="13" s="1"/>
  <c r="AV146" i="13" s="1"/>
  <c r="AV147" i="13" s="1"/>
  <c r="AV148" i="13" s="1"/>
  <c r="AV149" i="13" s="1"/>
  <c r="AV150" i="13" s="1"/>
  <c r="AV151" i="13" s="1"/>
  <c r="AV152" i="13" s="1"/>
  <c r="AV153" i="13" s="1"/>
  <c r="AV154" i="13" s="1"/>
  <c r="AV156" i="13"/>
  <c r="AV157" i="13" s="1"/>
  <c r="AV158" i="13" s="1"/>
  <c r="AV159" i="13" s="1"/>
  <c r="AV160" i="13" s="1"/>
  <c r="AV161" i="13" s="1"/>
  <c r="AV162" i="13" s="1"/>
  <c r="AV163" i="13" s="1"/>
  <c r="AV164" i="13" s="1"/>
  <c r="AV165" i="13" s="1"/>
  <c r="AV166" i="13" s="1"/>
  <c r="AV168" i="13"/>
  <c r="AV169" i="13" s="1"/>
  <c r="AV170" i="13" s="1"/>
  <c r="AV171" i="13" s="1"/>
  <c r="AV172" i="13" s="1"/>
  <c r="AV173" i="13" s="1"/>
  <c r="AV174" i="13" s="1"/>
  <c r="AV175" i="13" s="1"/>
  <c r="AV176" i="13" s="1"/>
  <c r="AV177" i="13" s="1"/>
  <c r="AV178" i="13" s="1"/>
  <c r="BI155" i="13"/>
  <c r="BD167" i="13"/>
  <c r="BD168" i="13" s="1"/>
  <c r="BD169" i="13" s="1"/>
  <c r="BD170" i="13" s="1"/>
  <c r="BD171" i="13" s="1"/>
  <c r="BD172" i="13" s="1"/>
  <c r="BD173" i="13" s="1"/>
  <c r="BD174" i="13" s="1"/>
  <c r="BD175" i="13" s="1"/>
  <c r="BD176" i="13" s="1"/>
  <c r="BD177" i="13" s="1"/>
  <c r="BD178" i="13" s="1"/>
  <c r="BI167" i="13"/>
  <c r="BI168" i="13" s="1"/>
  <c r="BI169" i="13" s="1"/>
  <c r="BI170" i="13" s="1"/>
  <c r="BI171" i="13" s="1"/>
  <c r="BI172" i="13" s="1"/>
  <c r="BI173" i="13" s="1"/>
  <c r="BI174" i="13" s="1"/>
  <c r="BI175" i="13" s="1"/>
  <c r="BI176" i="13" s="1"/>
  <c r="BI177" i="13" s="1"/>
  <c r="BI178" i="13" s="1"/>
  <c r="BF167" i="13"/>
  <c r="BF168" i="13" s="1"/>
  <c r="BF169" i="13" s="1"/>
  <c r="BF170" i="13" s="1"/>
  <c r="BF171" i="13" s="1"/>
  <c r="BF172" i="13" s="1"/>
  <c r="BF173" i="13" s="1"/>
  <c r="BF174" i="13" s="1"/>
  <c r="BF175" i="13" s="1"/>
  <c r="BF176" i="13" s="1"/>
  <c r="BF177" i="13" s="1"/>
  <c r="BF178" i="13" s="1"/>
  <c r="BJ167" i="13"/>
  <c r="AS167" i="13"/>
  <c r="BE167" i="13"/>
  <c r="BH167" i="13"/>
  <c r="AC167" i="13"/>
  <c r="BL167" i="13" s="1"/>
  <c r="AY167" i="13"/>
  <c r="AY168" i="13" s="1"/>
  <c r="AY169" i="13" s="1"/>
  <c r="AY170" i="13" s="1"/>
  <c r="AY171" i="13" s="1"/>
  <c r="AY172" i="13" s="1"/>
  <c r="AY173" i="13" s="1"/>
  <c r="AY174" i="13" s="1"/>
  <c r="AY175" i="13" s="1"/>
  <c r="AY176" i="13" s="1"/>
  <c r="AY177" i="13" s="1"/>
  <c r="AY178" i="13" s="1"/>
  <c r="BB167" i="13"/>
  <c r="BB168" i="13" s="1"/>
  <c r="BB169" i="13" s="1"/>
  <c r="BB170" i="13" s="1"/>
  <c r="BB171" i="13" s="1"/>
  <c r="BB172" i="13" s="1"/>
  <c r="BB173" i="13" s="1"/>
  <c r="BB174" i="13" s="1"/>
  <c r="BB175" i="13" s="1"/>
  <c r="BB176" i="13" s="1"/>
  <c r="BB177" i="13" s="1"/>
  <c r="BB178" i="13" s="1"/>
  <c r="AC155" i="13"/>
  <c r="AS155" i="13"/>
  <c r="AS156" i="13" s="1"/>
  <c r="AS157" i="13" s="1"/>
  <c r="AS158" i="13" s="1"/>
  <c r="AS159" i="13" s="1"/>
  <c r="AS160" i="13" s="1"/>
  <c r="AS161" i="13" s="1"/>
  <c r="AS162" i="13" s="1"/>
  <c r="AY155" i="13"/>
  <c r="AF167" i="13"/>
  <c r="AF168" i="13" s="1"/>
  <c r="AF169" i="13" s="1"/>
  <c r="AF170" i="13" s="1"/>
  <c r="AF171" i="13" s="1"/>
  <c r="AF172" i="13" s="1"/>
  <c r="AF173" i="13" s="1"/>
  <c r="AF174" i="13" s="1"/>
  <c r="AF175" i="13" s="1"/>
  <c r="AF176" i="13" s="1"/>
  <c r="AF177" i="13" s="1"/>
  <c r="AF178" i="13" s="1"/>
  <c r="AS143" i="13"/>
  <c r="BF155" i="13"/>
  <c r="BF156" i="13" s="1"/>
  <c r="BF157" i="13" s="1"/>
  <c r="BF158" i="13" s="1"/>
  <c r="BF159" i="13" s="1"/>
  <c r="BF160" i="13" s="1"/>
  <c r="BF161" i="13" s="1"/>
  <c r="BF162" i="13" s="1"/>
  <c r="BF163" i="13" s="1"/>
  <c r="BF164" i="13" s="1"/>
  <c r="BF165" i="13" s="1"/>
  <c r="BF166" i="13" s="1"/>
  <c r="BE155" i="13"/>
  <c r="BE156" i="13" s="1"/>
  <c r="BE157" i="13" s="1"/>
  <c r="BE158" i="13" s="1"/>
  <c r="BE159" i="13" s="1"/>
  <c r="BE160" i="13" s="1"/>
  <c r="BE161" i="13" s="1"/>
  <c r="BE162" i="13" s="1"/>
  <c r="BE163" i="13" s="1"/>
  <c r="BE164" i="13" s="1"/>
  <c r="BE165" i="13" s="1"/>
  <c r="BE166" i="13" s="1"/>
  <c r="BD155" i="13"/>
  <c r="BD156" i="13" s="1"/>
  <c r="BD157" i="13" s="1"/>
  <c r="BD158" i="13" s="1"/>
  <c r="BD159" i="13" s="1"/>
  <c r="BD160" i="13" s="1"/>
  <c r="BD161" i="13" s="1"/>
  <c r="BD162" i="13" s="1"/>
  <c r="BD163" i="13" s="1"/>
  <c r="BD164" i="13" s="1"/>
  <c r="BD165" i="13" s="1"/>
  <c r="BD166" i="13" s="1"/>
  <c r="BJ155" i="13"/>
  <c r="BJ156" i="13" s="1"/>
  <c r="BJ157" i="13" s="1"/>
  <c r="BJ158" i="13" s="1"/>
  <c r="BJ159" i="13" s="1"/>
  <c r="BJ160" i="13" s="1"/>
  <c r="BJ161" i="13" s="1"/>
  <c r="BJ162" i="13" s="1"/>
  <c r="BJ163" i="13" s="1"/>
  <c r="BJ164" i="13" s="1"/>
  <c r="BJ165" i="13" s="1"/>
  <c r="BJ166" i="13" s="1"/>
  <c r="BH155" i="13"/>
  <c r="BH156" i="13" s="1"/>
  <c r="BH157" i="13" s="1"/>
  <c r="BH158" i="13" s="1"/>
  <c r="BH159" i="13" s="1"/>
  <c r="BH160" i="13" s="1"/>
  <c r="BH161" i="13" s="1"/>
  <c r="BH162" i="13" s="1"/>
  <c r="BH163" i="13" s="1"/>
  <c r="BH164" i="13" s="1"/>
  <c r="BH165" i="13" s="1"/>
  <c r="BH166" i="13" s="1"/>
  <c r="AF155" i="13"/>
  <c r="AF156" i="13" s="1"/>
  <c r="AF157" i="13" s="1"/>
  <c r="AF158" i="13" s="1"/>
  <c r="AF159" i="13" s="1"/>
  <c r="AF160" i="13" s="1"/>
  <c r="AF161" i="13" s="1"/>
  <c r="AF162" i="13" s="1"/>
  <c r="AF163" i="13" s="1"/>
  <c r="AF164" i="13" s="1"/>
  <c r="AF165" i="13" s="1"/>
  <c r="AF166" i="13" s="1"/>
  <c r="BH143" i="13"/>
  <c r="BH144" i="13" s="1"/>
  <c r="BH145" i="13" s="1"/>
  <c r="BH146" i="13" s="1"/>
  <c r="BH147" i="13" s="1"/>
  <c r="BH148" i="13" s="1"/>
  <c r="BH149" i="13" s="1"/>
  <c r="BH150" i="13" s="1"/>
  <c r="BH151" i="13" s="1"/>
  <c r="BH152" i="13" s="1"/>
  <c r="BH153" i="13" s="1"/>
  <c r="BH154" i="13" s="1"/>
  <c r="BI156" i="13"/>
  <c r="BI157" i="13" s="1"/>
  <c r="BI158" i="13" s="1"/>
  <c r="BI159" i="13" s="1"/>
  <c r="BI160" i="13" s="1"/>
  <c r="BI161" i="13" s="1"/>
  <c r="BI162" i="13" s="1"/>
  <c r="BI163" i="13" s="1"/>
  <c r="BI164" i="13" s="1"/>
  <c r="BI165" i="13" s="1"/>
  <c r="BI166" i="13" s="1"/>
  <c r="AF143" i="13"/>
  <c r="AF144" i="13" s="1"/>
  <c r="AF145" i="13" s="1"/>
  <c r="AF146" i="13" s="1"/>
  <c r="AF147" i="13" s="1"/>
  <c r="AF148" i="13" s="1"/>
  <c r="AF149" i="13" s="1"/>
  <c r="AF150" i="13" s="1"/>
  <c r="AF151" i="13" s="1"/>
  <c r="AF152" i="13" s="1"/>
  <c r="AF153" i="13" s="1"/>
  <c r="AF154" i="13" s="1"/>
  <c r="BB143" i="13"/>
  <c r="BB155" i="13" s="1"/>
  <c r="BB156" i="13" s="1"/>
  <c r="BB157" i="13" s="1"/>
  <c r="BB158" i="13" s="1"/>
  <c r="BB159" i="13" s="1"/>
  <c r="BB160" i="13" s="1"/>
  <c r="BB161" i="13" s="1"/>
  <c r="BB162" i="13" s="1"/>
  <c r="BB163" i="13" s="1"/>
  <c r="BB164" i="13" s="1"/>
  <c r="BB165" i="13" s="1"/>
  <c r="BB166" i="13" s="1"/>
  <c r="AY143" i="13"/>
  <c r="BJ143" i="13"/>
  <c r="BJ144" i="13" s="1"/>
  <c r="BJ145" i="13" s="1"/>
  <c r="BJ146" i="13" s="1"/>
  <c r="BJ147" i="13" s="1"/>
  <c r="BJ148" i="13" s="1"/>
  <c r="BJ149" i="13" s="1"/>
  <c r="BJ150" i="13" s="1"/>
  <c r="BJ151" i="13" s="1"/>
  <c r="BJ152" i="13" s="1"/>
  <c r="BJ153" i="13" s="1"/>
  <c r="BJ154" i="13" s="1"/>
  <c r="AC143" i="13"/>
  <c r="BF143" i="13"/>
  <c r="BI143" i="13"/>
  <c r="BI144" i="13" s="1"/>
  <c r="BI145" i="13" s="1"/>
  <c r="BI146" i="13" s="1"/>
  <c r="BI147" i="13" s="1"/>
  <c r="BI148" i="13" s="1"/>
  <c r="BI149" i="13" s="1"/>
  <c r="BI150" i="13" s="1"/>
  <c r="BI151" i="13" s="1"/>
  <c r="BI152" i="13" s="1"/>
  <c r="BI153" i="13" s="1"/>
  <c r="BI154" i="13" s="1"/>
  <c r="BD143" i="13"/>
  <c r="BD144" i="13" s="1"/>
  <c r="BD145" i="13" s="1"/>
  <c r="BD146" i="13" s="1"/>
  <c r="BD147" i="13" s="1"/>
  <c r="BD148" i="13" s="1"/>
  <c r="BD149" i="13" s="1"/>
  <c r="BD150" i="13" s="1"/>
  <c r="BD151" i="13" s="1"/>
  <c r="BD152" i="13" s="1"/>
  <c r="BD153" i="13" s="1"/>
  <c r="BD154" i="13" s="1"/>
  <c r="BE143" i="13"/>
  <c r="F138" i="13"/>
  <c r="E138" i="13"/>
  <c r="F139" i="13" s="1"/>
  <c r="F134" i="13"/>
  <c r="F137" i="13"/>
  <c r="AS163" i="13" l="1"/>
  <c r="BM162" i="13"/>
  <c r="AS168" i="13"/>
  <c r="BM167" i="13"/>
  <c r="AY156" i="13"/>
  <c r="AY157" i="13" s="1"/>
  <c r="AO167" i="13"/>
  <c r="AO168" i="13" s="1"/>
  <c r="AO169" i="13" s="1"/>
  <c r="AO170" i="13" s="1"/>
  <c r="AO171" i="13" s="1"/>
  <c r="AO172" i="13" s="1"/>
  <c r="AO173" i="13" s="1"/>
  <c r="AO174" i="13" s="1"/>
  <c r="AO175" i="13" s="1"/>
  <c r="AO176" i="13" s="1"/>
  <c r="AO177" i="13" s="1"/>
  <c r="AO178" i="13" s="1"/>
  <c r="BE168" i="13"/>
  <c r="BE169" i="13" s="1"/>
  <c r="BE170" i="13" s="1"/>
  <c r="BE171" i="13" s="1"/>
  <c r="BE172" i="13" s="1"/>
  <c r="BE173" i="13" s="1"/>
  <c r="BE174" i="13" s="1"/>
  <c r="BE175" i="13" s="1"/>
  <c r="BE176" i="13" s="1"/>
  <c r="BE177" i="13" s="1"/>
  <c r="BE178" i="13" s="1"/>
  <c r="BJ168" i="13"/>
  <c r="BJ169" i="13" s="1"/>
  <c r="BJ170" i="13" s="1"/>
  <c r="BJ171" i="13" s="1"/>
  <c r="BJ172" i="13" s="1"/>
  <c r="BJ173" i="13" s="1"/>
  <c r="BJ174" i="13" s="1"/>
  <c r="BJ175" i="13" s="1"/>
  <c r="BJ176" i="13" s="1"/>
  <c r="BJ177" i="13" s="1"/>
  <c r="BJ178" i="13" s="1"/>
  <c r="BH168" i="13"/>
  <c r="BH169" i="13" s="1"/>
  <c r="BH170" i="13" s="1"/>
  <c r="BH171" i="13" s="1"/>
  <c r="BH172" i="13" s="1"/>
  <c r="BH173" i="13" s="1"/>
  <c r="BH174" i="13" s="1"/>
  <c r="BH175" i="13" s="1"/>
  <c r="BH176" i="13" s="1"/>
  <c r="BH177" i="13" s="1"/>
  <c r="BH178" i="13" s="1"/>
  <c r="AC168" i="13"/>
  <c r="AC156" i="13"/>
  <c r="AC157" i="13" s="1"/>
  <c r="AC158" i="13" s="1"/>
  <c r="AC159" i="13" s="1"/>
  <c r="AC160" i="13" s="1"/>
  <c r="F136" i="13"/>
  <c r="AS169" i="13" l="1"/>
  <c r="BM168" i="13"/>
  <c r="AC169" i="13"/>
  <c r="BL168" i="13"/>
  <c r="AS164" i="13"/>
  <c r="BM163" i="13"/>
  <c r="AY158" i="13"/>
  <c r="AC161" i="13"/>
  <c r="AL138" i="13"/>
  <c r="AL137" i="13"/>
  <c r="AS165" i="13" l="1"/>
  <c r="BM164" i="13"/>
  <c r="AC170" i="13"/>
  <c r="BL169" i="13"/>
  <c r="AS170" i="13"/>
  <c r="BM169" i="13"/>
  <c r="AY159" i="13"/>
  <c r="AC162" i="13"/>
  <c r="BL162" i="13" s="1"/>
  <c r="F135" i="13"/>
  <c r="F132" i="13"/>
  <c r="F131" i="13"/>
  <c r="F129" i="13"/>
  <c r="F130" i="13"/>
  <c r="F133" i="13"/>
  <c r="BJ132" i="13"/>
  <c r="BJ133" i="13" s="1"/>
  <c r="BJ134" i="13" s="1"/>
  <c r="BJ135" i="13" s="1"/>
  <c r="BJ136" i="13" s="1"/>
  <c r="BJ137" i="13" s="1"/>
  <c r="BI132" i="13"/>
  <c r="BI133" i="13" s="1"/>
  <c r="BI134" i="13" s="1"/>
  <c r="BI135" i="13" s="1"/>
  <c r="BI136" i="13" s="1"/>
  <c r="BI137" i="13" s="1"/>
  <c r="BH132" i="13"/>
  <c r="BH133" i="13" s="1"/>
  <c r="BH134" i="13" s="1"/>
  <c r="BH135" i="13" s="1"/>
  <c r="BH136" i="13" s="1"/>
  <c r="BH137" i="13" s="1"/>
  <c r="AF132" i="13"/>
  <c r="AF133" i="13" s="1"/>
  <c r="AF134" i="13" s="1"/>
  <c r="AF135" i="13" s="1"/>
  <c r="AF136" i="13" s="1"/>
  <c r="AC132" i="13"/>
  <c r="AC133" i="13" s="1"/>
  <c r="AC134" i="13" s="1"/>
  <c r="AC135" i="13" s="1"/>
  <c r="AC136" i="13" s="1"/>
  <c r="AS132" i="13"/>
  <c r="AS133" i="13" s="1"/>
  <c r="AS134" i="13" s="1"/>
  <c r="AS135" i="13" s="1"/>
  <c r="AS136" i="13" s="1"/>
  <c r="BE132" i="13"/>
  <c r="BE133" i="13" s="1"/>
  <c r="BE134" i="13" s="1"/>
  <c r="BE135" i="13" s="1"/>
  <c r="BE136" i="13" s="1"/>
  <c r="BE137" i="13" s="1"/>
  <c r="BF132" i="13"/>
  <c r="BF133" i="13" s="1"/>
  <c r="BF134" i="13" s="1"/>
  <c r="BF135" i="13" s="1"/>
  <c r="BF136" i="13" s="1"/>
  <c r="BF137" i="13" s="1"/>
  <c r="AL131" i="13"/>
  <c r="AS171" i="13" l="1"/>
  <c r="BM170" i="13"/>
  <c r="AC171" i="13"/>
  <c r="BL170" i="13"/>
  <c r="AS166" i="13"/>
  <c r="BM166" i="13" s="1"/>
  <c r="BM165" i="13"/>
  <c r="AY160" i="13"/>
  <c r="AC163" i="13"/>
  <c r="BL163" i="13" s="1"/>
  <c r="BH139" i="13"/>
  <c r="BH140" i="13" s="1"/>
  <c r="BH141" i="13" s="1"/>
  <c r="BH142" i="13" s="1"/>
  <c r="BH138" i="13"/>
  <c r="AC138" i="13"/>
  <c r="AC137" i="13"/>
  <c r="AC139" i="13" s="1"/>
  <c r="AC140" i="13" s="1"/>
  <c r="AC141" i="13" s="1"/>
  <c r="AC142" i="13" s="1"/>
  <c r="BF139" i="13"/>
  <c r="BF140" i="13" s="1"/>
  <c r="BF141" i="13" s="1"/>
  <c r="BF142" i="13" s="1"/>
  <c r="BF138" i="13"/>
  <c r="AF138" i="13"/>
  <c r="AF137" i="13"/>
  <c r="AF139" i="13" s="1"/>
  <c r="AF140" i="13" s="1"/>
  <c r="AF141" i="13" s="1"/>
  <c r="AF142" i="13" s="1"/>
  <c r="BE139" i="13"/>
  <c r="BE140" i="13" s="1"/>
  <c r="BE141" i="13" s="1"/>
  <c r="BE142" i="13" s="1"/>
  <c r="BE138" i="13"/>
  <c r="AS138" i="13"/>
  <c r="AS137" i="13"/>
  <c r="AS139" i="13" s="1"/>
  <c r="AS140" i="13" s="1"/>
  <c r="AS141" i="13" s="1"/>
  <c r="AS142" i="13" s="1"/>
  <c r="BJ139" i="13"/>
  <c r="BJ140" i="13" s="1"/>
  <c r="BJ141" i="13" s="1"/>
  <c r="BJ142" i="13" s="1"/>
  <c r="BJ138" i="13"/>
  <c r="BI139" i="13"/>
  <c r="BI140" i="13" s="1"/>
  <c r="BI141" i="13" s="1"/>
  <c r="BI142" i="13" s="1"/>
  <c r="BI138" i="13"/>
  <c r="I20" i="13"/>
  <c r="AC172" i="13" l="1"/>
  <c r="BL171" i="13"/>
  <c r="AS172" i="13"/>
  <c r="BM171" i="13"/>
  <c r="AY161" i="13"/>
  <c r="AC164" i="13"/>
  <c r="BL164" i="13" s="1"/>
  <c r="AL142" i="13"/>
  <c r="AL141" i="13"/>
  <c r="AL140" i="13"/>
  <c r="AL139" i="13"/>
  <c r="AL136" i="13"/>
  <c r="AL135" i="13"/>
  <c r="AL134" i="13"/>
  <c r="AL133" i="13"/>
  <c r="AL132" i="13"/>
  <c r="E127" i="13"/>
  <c r="E126" i="13"/>
  <c r="AS173" i="13" l="1"/>
  <c r="BM172" i="13"/>
  <c r="AC173" i="13"/>
  <c r="BL172" i="13"/>
  <c r="AY162" i="13"/>
  <c r="AO162" i="13" s="1"/>
  <c r="AC165" i="13"/>
  <c r="BL165" i="13" s="1"/>
  <c r="F127" i="13"/>
  <c r="F128" i="13"/>
  <c r="AC174" i="13" l="1"/>
  <c r="BL173" i="13"/>
  <c r="AS174" i="13"/>
  <c r="BM173" i="13"/>
  <c r="AY163" i="13"/>
  <c r="AO163" i="13" s="1"/>
  <c r="AC166" i="13"/>
  <c r="BL166" i="13" s="1"/>
  <c r="E123" i="13"/>
  <c r="E124" i="13"/>
  <c r="E125" i="13"/>
  <c r="AS175" i="13" l="1"/>
  <c r="BM174" i="13"/>
  <c r="AC175" i="13"/>
  <c r="BL174" i="13"/>
  <c r="AY164" i="13"/>
  <c r="AO164" i="13" s="1"/>
  <c r="F124" i="13"/>
  <c r="F125" i="13"/>
  <c r="F126" i="13"/>
  <c r="E121" i="13"/>
  <c r="E122" i="13"/>
  <c r="F123" i="13" s="1"/>
  <c r="E120" i="13"/>
  <c r="AC176" i="13" l="1"/>
  <c r="BL175" i="13"/>
  <c r="AS176" i="13"/>
  <c r="BM175" i="13"/>
  <c r="AY165" i="13"/>
  <c r="AO165" i="13" s="1"/>
  <c r="F121" i="13"/>
  <c r="F122" i="13"/>
  <c r="E117" i="13"/>
  <c r="E118" i="13"/>
  <c r="E119" i="13"/>
  <c r="F120" i="13" s="1"/>
  <c r="AL128" i="13"/>
  <c r="AL127" i="13"/>
  <c r="AL126" i="13"/>
  <c r="AL125" i="13"/>
  <c r="AL124" i="13"/>
  <c r="AL123" i="13"/>
  <c r="AL122" i="13"/>
  <c r="AL121" i="13"/>
  <c r="AL120" i="13"/>
  <c r="AL119" i="13"/>
  <c r="AL118" i="13"/>
  <c r="E114" i="13"/>
  <c r="E115" i="13"/>
  <c r="E116" i="13"/>
  <c r="AC73" i="13"/>
  <c r="AC74" i="13"/>
  <c r="AC75" i="13"/>
  <c r="AC76" i="13"/>
  <c r="AC77" i="13"/>
  <c r="AC78" i="13"/>
  <c r="AC79" i="13"/>
  <c r="AC80" i="13"/>
  <c r="AC72" i="13"/>
  <c r="E111" i="13"/>
  <c r="E112" i="13"/>
  <c r="E113" i="13"/>
  <c r="E106" i="13"/>
  <c r="E107" i="13"/>
  <c r="F107" i="13" s="1"/>
  <c r="E108" i="13"/>
  <c r="E109" i="13"/>
  <c r="E110" i="13"/>
  <c r="E105" i="13"/>
  <c r="E104" i="13"/>
  <c r="BF83" i="13"/>
  <c r="BF84" i="13" s="1"/>
  <c r="BF85" i="13" s="1"/>
  <c r="BF86" i="13" s="1"/>
  <c r="BF87" i="13" s="1"/>
  <c r="BF88" i="13" s="1"/>
  <c r="BF89" i="13" s="1"/>
  <c r="BF90" i="13" s="1"/>
  <c r="BF91" i="13" s="1"/>
  <c r="BF92" i="13" s="1"/>
  <c r="AL116" i="13"/>
  <c r="E103" i="13"/>
  <c r="AL106" i="13"/>
  <c r="AL108" i="13"/>
  <c r="AL110" i="13"/>
  <c r="AL112" i="13"/>
  <c r="AL114" i="13"/>
  <c r="E102" i="13"/>
  <c r="E80" i="13"/>
  <c r="E101" i="13"/>
  <c r="E93" i="13"/>
  <c r="E100" i="13"/>
  <c r="E99" i="13"/>
  <c r="E98" i="13"/>
  <c r="E97" i="13"/>
  <c r="E96" i="13"/>
  <c r="E95" i="13"/>
  <c r="E94" i="13"/>
  <c r="AB93" i="13"/>
  <c r="AE93" i="13"/>
  <c r="E92" i="13"/>
  <c r="AE81" i="13"/>
  <c r="AB81" i="13"/>
  <c r="AR93" i="13"/>
  <c r="E91" i="13"/>
  <c r="E85" i="13"/>
  <c r="E84" i="13"/>
  <c r="E83" i="13"/>
  <c r="E82" i="13"/>
  <c r="E81" i="13"/>
  <c r="E90" i="13"/>
  <c r="E89" i="13"/>
  <c r="E87" i="13"/>
  <c r="E88" i="13"/>
  <c r="E86" i="13"/>
  <c r="E79" i="13"/>
  <c r="E78" i="13"/>
  <c r="E77" i="13"/>
  <c r="E76" i="13"/>
  <c r="E75" i="13"/>
  <c r="E74" i="13"/>
  <c r="E73" i="13"/>
  <c r="E72" i="13"/>
  <c r="E71" i="13"/>
  <c r="E70" i="13"/>
  <c r="AL80" i="13"/>
  <c r="AL79" i="13"/>
  <c r="AL78" i="13"/>
  <c r="AL77" i="13"/>
  <c r="AL76" i="13"/>
  <c r="AL75" i="13"/>
  <c r="AL74" i="13"/>
  <c r="AL73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BF144" i="13" s="1"/>
  <c r="BF145" i="13" s="1"/>
  <c r="BF146" i="13" s="1"/>
  <c r="BF147" i="13" s="1"/>
  <c r="BF148" i="13" s="1"/>
  <c r="BF149" i="13" s="1"/>
  <c r="BF150" i="13" s="1"/>
  <c r="BF151" i="13" s="1"/>
  <c r="BF152" i="13" s="1"/>
  <c r="BF153" i="13" s="1"/>
  <c r="BF154" i="13" s="1"/>
  <c r="E56" i="13"/>
  <c r="E55" i="13"/>
  <c r="E54" i="13"/>
  <c r="E53" i="13"/>
  <c r="E52" i="13"/>
  <c r="E51" i="13"/>
  <c r="E50" i="13"/>
  <c r="E49" i="13"/>
  <c r="E48" i="13"/>
  <c r="E47" i="13"/>
  <c r="E46" i="13"/>
  <c r="E45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E31" i="13" s="1"/>
  <c r="E94" i="1"/>
  <c r="E14" i="13" s="1"/>
  <c r="E44" i="13"/>
  <c r="E43" i="13"/>
  <c r="AC47" i="13"/>
  <c r="AC48" i="13" s="1"/>
  <c r="AC49" i="13" s="1"/>
  <c r="AC50" i="13" s="1"/>
  <c r="AC51" i="13" s="1"/>
  <c r="AC52" i="13" s="1"/>
  <c r="AC53" i="13" s="1"/>
  <c r="AC54" i="13" s="1"/>
  <c r="AC55" i="13" s="1"/>
  <c r="AC56" i="13" s="1"/>
  <c r="AF47" i="13"/>
  <c r="AF48" i="13" s="1"/>
  <c r="AF49" i="13" s="1"/>
  <c r="AF50" i="13" s="1"/>
  <c r="AF51" i="13" s="1"/>
  <c r="AF52" i="13" s="1"/>
  <c r="AF53" i="13" s="1"/>
  <c r="AF54" i="13" s="1"/>
  <c r="AF55" i="13" s="1"/>
  <c r="AF56" i="13" s="1"/>
  <c r="E33" i="13"/>
  <c r="E32" i="13"/>
  <c r="E42" i="13"/>
  <c r="E41" i="13"/>
  <c r="E40" i="13"/>
  <c r="E36" i="13"/>
  <c r="E37" i="13"/>
  <c r="E38" i="13"/>
  <c r="E39" i="13"/>
  <c r="E35" i="13"/>
  <c r="E34" i="13"/>
  <c r="AL20" i="13"/>
  <c r="I21" i="13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AH18" i="13"/>
  <c r="AF20" i="13"/>
  <c r="AF21" i="13" s="1"/>
  <c r="AF22" i="13" s="1"/>
  <c r="AF23" i="13" s="1"/>
  <c r="AF24" i="13" s="1"/>
  <c r="AF25" i="13" s="1"/>
  <c r="AF26" i="13" s="1"/>
  <c r="AF27" i="13" s="1"/>
  <c r="AF28" i="13" s="1"/>
  <c r="AF29" i="13" s="1"/>
  <c r="AF30" i="13" s="1"/>
  <c r="AF31" i="13" s="1"/>
  <c r="AF32" i="13" s="1"/>
  <c r="AC20" i="13"/>
  <c r="AC21" i="13" s="1"/>
  <c r="AC22" i="13" s="1"/>
  <c r="AC23" i="13" s="1"/>
  <c r="AC24" i="13" s="1"/>
  <c r="AC25" i="13" s="1"/>
  <c r="AC26" i="13" s="1"/>
  <c r="AC27" i="13" s="1"/>
  <c r="AC28" i="13" s="1"/>
  <c r="AC29" i="13" s="1"/>
  <c r="AC30" i="13" s="1"/>
  <c r="AC31" i="13" s="1"/>
  <c r="AC32" i="13" s="1"/>
  <c r="T20" i="13"/>
  <c r="T21" i="13" s="1"/>
  <c r="T22" i="13" s="1"/>
  <c r="T23" i="13" s="1"/>
  <c r="T24" i="13" s="1"/>
  <c r="T25" i="13" s="1"/>
  <c r="T26" i="13" s="1"/>
  <c r="T27" i="13" s="1"/>
  <c r="T28" i="13" s="1"/>
  <c r="T29" i="13" s="1"/>
  <c r="T30" i="13" s="1"/>
  <c r="T31" i="13" s="1"/>
  <c r="T32" i="13" s="1"/>
  <c r="P20" i="13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M20" i="13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E29" i="1"/>
  <c r="AG32" i="1"/>
  <c r="E40" i="1"/>
  <c r="E96" i="1"/>
  <c r="E95" i="1"/>
  <c r="E15" i="13" s="1"/>
  <c r="E37" i="1"/>
  <c r="E92" i="1"/>
  <c r="E12" i="13" s="1"/>
  <c r="E41" i="1"/>
  <c r="E47" i="1"/>
  <c r="E51" i="1"/>
  <c r="E23" i="1"/>
  <c r="E22" i="1"/>
  <c r="E65" i="1"/>
  <c r="E64" i="1"/>
  <c r="E32" i="1"/>
  <c r="E57" i="1"/>
  <c r="E79" i="1"/>
  <c r="E42" i="1"/>
  <c r="E46" i="1"/>
  <c r="E24" i="1"/>
  <c r="E66" i="1"/>
  <c r="F66" i="1" s="1"/>
  <c r="E68" i="1"/>
  <c r="E72" i="1"/>
  <c r="E39" i="1"/>
  <c r="E38" i="1"/>
  <c r="E60" i="1"/>
  <c r="E81" i="1"/>
  <c r="E86" i="1"/>
  <c r="E93" i="1"/>
  <c r="E13" i="13" s="1"/>
  <c r="E58" i="1"/>
  <c r="E83" i="1"/>
  <c r="E25" i="1"/>
  <c r="F25" i="1" s="1"/>
  <c r="E63" i="1"/>
  <c r="F64" i="1" s="1"/>
  <c r="E62" i="1"/>
  <c r="E89" i="1"/>
  <c r="E9" i="13" s="1"/>
  <c r="E88" i="1"/>
  <c r="E8" i="13" s="1"/>
  <c r="E52" i="1"/>
  <c r="E53" i="1"/>
  <c r="E54" i="1"/>
  <c r="E55" i="1"/>
  <c r="F55" i="1" s="1"/>
  <c r="E59" i="1"/>
  <c r="E73" i="1"/>
  <c r="E69" i="1"/>
  <c r="F69" i="1" s="1"/>
  <c r="E78" i="1"/>
  <c r="E50" i="1"/>
  <c r="F51" i="1" s="1"/>
  <c r="E48" i="1"/>
  <c r="E44" i="1"/>
  <c r="E84" i="1"/>
  <c r="E33" i="1"/>
  <c r="F33" i="1" s="1"/>
  <c r="E30" i="1"/>
  <c r="F30" i="1" s="1"/>
  <c r="E28" i="1"/>
  <c r="E27" i="1"/>
  <c r="E26" i="1"/>
  <c r="E80" i="1"/>
  <c r="E36" i="1"/>
  <c r="E76" i="1"/>
  <c r="F77" i="1" s="1"/>
  <c r="E77" i="1"/>
  <c r="E61" i="1"/>
  <c r="F61" i="1" s="1"/>
  <c r="E34" i="1"/>
  <c r="E35" i="1"/>
  <c r="E91" i="1"/>
  <c r="E11" i="13" s="1"/>
  <c r="E90" i="1"/>
  <c r="E82" i="1"/>
  <c r="E87" i="1"/>
  <c r="E74" i="1"/>
  <c r="F74" i="1" s="1"/>
  <c r="E70" i="1"/>
  <c r="E31" i="1"/>
  <c r="F31" i="1" s="1"/>
  <c r="E85" i="1"/>
  <c r="E75" i="1"/>
  <c r="E71" i="1"/>
  <c r="E67" i="1"/>
  <c r="F68" i="1" s="1"/>
  <c r="E49" i="1"/>
  <c r="F49" i="1" s="1"/>
  <c r="E45" i="1"/>
  <c r="E43" i="1"/>
  <c r="F43" i="1"/>
  <c r="E56" i="1"/>
  <c r="F56" i="1" s="1"/>
  <c r="F54" i="1"/>
  <c r="E97" i="1"/>
  <c r="E17" i="13" s="1"/>
  <c r="E98" i="1"/>
  <c r="E18" i="13" s="1"/>
  <c r="E99" i="1"/>
  <c r="E19" i="13" s="1"/>
  <c r="F95" i="1"/>
  <c r="F15" i="13" s="1"/>
  <c r="AL115" i="13"/>
  <c r="AL113" i="13"/>
  <c r="AL111" i="13"/>
  <c r="AL109" i="13"/>
  <c r="AL107" i="13"/>
  <c r="E16" i="13"/>
  <c r="F96" i="1"/>
  <c r="F16" i="13"/>
  <c r="E10" i="13"/>
  <c r="F26" i="1"/>
  <c r="F44" i="1"/>
  <c r="F98" i="13" l="1"/>
  <c r="AS177" i="13"/>
  <c r="BM176" i="13"/>
  <c r="AC177" i="13"/>
  <c r="BL176" i="13"/>
  <c r="F35" i="1"/>
  <c r="O65" i="1"/>
  <c r="F112" i="13"/>
  <c r="F38" i="1"/>
  <c r="F82" i="1"/>
  <c r="M155" i="13"/>
  <c r="AO155" i="13" s="1"/>
  <c r="I155" i="13"/>
  <c r="I156" i="13" s="1"/>
  <c r="I157" i="13" s="1"/>
  <c r="I158" i="13" s="1"/>
  <c r="I159" i="13" s="1"/>
  <c r="I160" i="13" s="1"/>
  <c r="I161" i="13" s="1"/>
  <c r="F71" i="1"/>
  <c r="AM155" i="13"/>
  <c r="AM156" i="13" s="1"/>
  <c r="AM157" i="13" s="1"/>
  <c r="AM158" i="13" s="1"/>
  <c r="AM159" i="13" s="1"/>
  <c r="AM160" i="13" s="1"/>
  <c r="AM161" i="13" s="1"/>
  <c r="F86" i="1"/>
  <c r="AC105" i="13"/>
  <c r="AC116" i="13" s="1"/>
  <c r="AA65" i="1"/>
  <c r="F76" i="1"/>
  <c r="X53" i="1"/>
  <c r="F79" i="1"/>
  <c r="I33" i="13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F67" i="1"/>
  <c r="F85" i="1"/>
  <c r="F57" i="1"/>
  <c r="F34" i="1"/>
  <c r="F36" i="1"/>
  <c r="O29" i="1"/>
  <c r="F93" i="1"/>
  <c r="F13" i="13" s="1"/>
  <c r="F27" i="1"/>
  <c r="F78" i="1"/>
  <c r="L53" i="1"/>
  <c r="F70" i="1"/>
  <c r="F90" i="1"/>
  <c r="F10" i="13" s="1"/>
  <c r="F48" i="1"/>
  <c r="F62" i="13"/>
  <c r="F95" i="13"/>
  <c r="F111" i="13"/>
  <c r="F106" i="13"/>
  <c r="F102" i="13"/>
  <c r="AY166" i="13"/>
  <c r="AO166" i="13" s="1"/>
  <c r="U29" i="1"/>
  <c r="I53" i="1"/>
  <c r="F91" i="1"/>
  <c r="F11" i="13" s="1"/>
  <c r="F45" i="1"/>
  <c r="F83" i="1"/>
  <c r="F53" i="1"/>
  <c r="F39" i="1"/>
  <c r="F94" i="1"/>
  <c r="F14" i="13" s="1"/>
  <c r="F80" i="1"/>
  <c r="F117" i="13"/>
  <c r="F28" i="1"/>
  <c r="U65" i="1"/>
  <c r="X29" i="1"/>
  <c r="F81" i="1"/>
  <c r="F72" i="1"/>
  <c r="F24" i="1"/>
  <c r="P155" i="13"/>
  <c r="P156" i="13" s="1"/>
  <c r="P157" i="13" s="1"/>
  <c r="P158" i="13" s="1"/>
  <c r="P159" i="13" s="1"/>
  <c r="P160" i="13" s="1"/>
  <c r="P161" i="13" s="1"/>
  <c r="T155" i="13"/>
  <c r="T156" i="13" s="1"/>
  <c r="T157" i="13" s="1"/>
  <c r="T158" i="13" s="1"/>
  <c r="T159" i="13" s="1"/>
  <c r="T160" i="13" s="1"/>
  <c r="T161" i="13" s="1"/>
  <c r="F92" i="1"/>
  <c r="F12" i="13" s="1"/>
  <c r="F52" i="1"/>
  <c r="F88" i="1"/>
  <c r="F8" i="13" s="1"/>
  <c r="F87" i="1"/>
  <c r="F50" i="1"/>
  <c r="F40" i="13"/>
  <c r="F47" i="13"/>
  <c r="F51" i="13"/>
  <c r="F55" i="13"/>
  <c r="F110" i="13"/>
  <c r="F113" i="13"/>
  <c r="AM143" i="13"/>
  <c r="AM144" i="13" s="1"/>
  <c r="AM145" i="13" s="1"/>
  <c r="AM146" i="13" s="1"/>
  <c r="AM147" i="13" s="1"/>
  <c r="AM148" i="13" s="1"/>
  <c r="AM149" i="13" s="1"/>
  <c r="AM150" i="13" s="1"/>
  <c r="AM151" i="13" s="1"/>
  <c r="AM152" i="13" s="1"/>
  <c r="AM153" i="13" s="1"/>
  <c r="AM154" i="13" s="1"/>
  <c r="I143" i="13"/>
  <c r="I144" i="13" s="1"/>
  <c r="I145" i="13" s="1"/>
  <c r="I146" i="13" s="1"/>
  <c r="I147" i="13" s="1"/>
  <c r="I148" i="13" s="1"/>
  <c r="I149" i="13" s="1"/>
  <c r="I150" i="13" s="1"/>
  <c r="I151" i="13" s="1"/>
  <c r="I152" i="13" s="1"/>
  <c r="I153" i="13" s="1"/>
  <c r="F43" i="13"/>
  <c r="F54" i="13"/>
  <c r="F74" i="13"/>
  <c r="F82" i="13"/>
  <c r="F99" i="13"/>
  <c r="AD65" i="1"/>
  <c r="X41" i="1"/>
  <c r="F37" i="1"/>
  <c r="F98" i="1"/>
  <c r="AF99" i="1" s="1"/>
  <c r="AD29" i="1"/>
  <c r="F84" i="1"/>
  <c r="F32" i="1"/>
  <c r="AG33" i="1" s="1"/>
  <c r="AG34" i="1" s="1"/>
  <c r="AG35" i="1" s="1"/>
  <c r="AG36" i="1" s="1"/>
  <c r="F29" i="1"/>
  <c r="I29" i="1"/>
  <c r="O53" i="1"/>
  <c r="AD53" i="1"/>
  <c r="F23" i="1"/>
  <c r="AA29" i="1"/>
  <c r="AA30" i="1" s="1"/>
  <c r="AA31" i="1" s="1"/>
  <c r="AA32" i="1" s="1"/>
  <c r="R29" i="1"/>
  <c r="F75" i="1"/>
  <c r="L29" i="1"/>
  <c r="L30" i="1" s="1"/>
  <c r="L31" i="1" s="1"/>
  <c r="L32" i="1" s="1"/>
  <c r="F94" i="13"/>
  <c r="F46" i="1"/>
  <c r="U53" i="1"/>
  <c r="F47" i="1"/>
  <c r="R53" i="1"/>
  <c r="F97" i="1"/>
  <c r="F17" i="13" s="1"/>
  <c r="F58" i="1"/>
  <c r="R65" i="1"/>
  <c r="AA53" i="1"/>
  <c r="F99" i="1"/>
  <c r="F19" i="13" s="1"/>
  <c r="F89" i="1"/>
  <c r="F9" i="13" s="1"/>
  <c r="F73" i="1"/>
  <c r="F56" i="13"/>
  <c r="F60" i="13"/>
  <c r="BB71" i="13"/>
  <c r="F84" i="13"/>
  <c r="F93" i="13"/>
  <c r="F34" i="13"/>
  <c r="F63" i="13"/>
  <c r="F67" i="13"/>
  <c r="F75" i="13"/>
  <c r="F79" i="13"/>
  <c r="F83" i="13"/>
  <c r="T117" i="13"/>
  <c r="T118" i="13" s="1"/>
  <c r="T119" i="13" s="1"/>
  <c r="T120" i="13" s="1"/>
  <c r="T121" i="13" s="1"/>
  <c r="T122" i="13" s="1"/>
  <c r="T123" i="13" s="1"/>
  <c r="T124" i="13" s="1"/>
  <c r="T125" i="13" s="1"/>
  <c r="T126" i="13" s="1"/>
  <c r="T127" i="13" s="1"/>
  <c r="T128" i="13" s="1"/>
  <c r="P143" i="13"/>
  <c r="P144" i="13" s="1"/>
  <c r="P145" i="13" s="1"/>
  <c r="P146" i="13" s="1"/>
  <c r="P147" i="13" s="1"/>
  <c r="P148" i="13" s="1"/>
  <c r="P149" i="13" s="1"/>
  <c r="P150" i="13" s="1"/>
  <c r="P151" i="13" s="1"/>
  <c r="P152" i="13" s="1"/>
  <c r="P153" i="13" s="1"/>
  <c r="P154" i="13" s="1"/>
  <c r="M143" i="13"/>
  <c r="T143" i="13"/>
  <c r="T144" i="13" s="1"/>
  <c r="T145" i="13" s="1"/>
  <c r="T146" i="13" s="1"/>
  <c r="T147" i="13" s="1"/>
  <c r="T148" i="13" s="1"/>
  <c r="T149" i="13" s="1"/>
  <c r="T150" i="13" s="1"/>
  <c r="T151" i="13" s="1"/>
  <c r="T152" i="13" s="1"/>
  <c r="T153" i="13" s="1"/>
  <c r="BD117" i="13"/>
  <c r="BD118" i="13" s="1"/>
  <c r="BD119" i="13" s="1"/>
  <c r="BD120" i="13" s="1"/>
  <c r="BD121" i="13" s="1"/>
  <c r="BD122" i="13" s="1"/>
  <c r="BD123" i="13" s="1"/>
  <c r="BD124" i="13" s="1"/>
  <c r="BD125" i="13" s="1"/>
  <c r="BD126" i="13" s="1"/>
  <c r="BD127" i="13" s="1"/>
  <c r="BD128" i="13" s="1"/>
  <c r="E30" i="13"/>
  <c r="F31" i="13" s="1"/>
  <c r="F46" i="13"/>
  <c r="F50" i="13"/>
  <c r="AC117" i="13"/>
  <c r="AC118" i="13" s="1"/>
  <c r="AC119" i="13" s="1"/>
  <c r="AC120" i="13" s="1"/>
  <c r="AC121" i="13" s="1"/>
  <c r="BE144" i="13"/>
  <c r="BE145" i="13" s="1"/>
  <c r="BE146" i="13" s="1"/>
  <c r="BE147" i="13" s="1"/>
  <c r="BE148" i="13" s="1"/>
  <c r="BE149" i="13" s="1"/>
  <c r="BE150" i="13" s="1"/>
  <c r="BE151" i="13" s="1"/>
  <c r="BE152" i="13" s="1"/>
  <c r="BE153" i="13" s="1"/>
  <c r="BE154" i="13" s="1"/>
  <c r="AS144" i="13"/>
  <c r="AS145" i="13" s="1"/>
  <c r="AS146" i="13" s="1"/>
  <c r="AS147" i="13" s="1"/>
  <c r="AS148" i="13" s="1"/>
  <c r="AS149" i="13" s="1"/>
  <c r="AS150" i="13" s="1"/>
  <c r="AS151" i="13" s="1"/>
  <c r="AF129" i="13"/>
  <c r="AF130" i="13" s="1"/>
  <c r="BE129" i="13"/>
  <c r="BE130" i="13" s="1"/>
  <c r="AC129" i="13"/>
  <c r="AC130" i="13" s="1"/>
  <c r="BD129" i="13"/>
  <c r="BD130" i="13" s="1"/>
  <c r="AS129" i="13"/>
  <c r="AS130" i="13" s="1"/>
  <c r="AS117" i="13"/>
  <c r="AS118" i="13" s="1"/>
  <c r="AS119" i="13" s="1"/>
  <c r="AS120" i="13" s="1"/>
  <c r="AS121" i="13" s="1"/>
  <c r="AS122" i="13" s="1"/>
  <c r="AS123" i="13" s="1"/>
  <c r="AS124" i="13" s="1"/>
  <c r="AS125" i="13" s="1"/>
  <c r="AS126" i="13" s="1"/>
  <c r="AS127" i="13" s="1"/>
  <c r="AS128" i="13" s="1"/>
  <c r="AC45" i="13"/>
  <c r="AL81" i="13"/>
  <c r="AL89" i="13" s="1"/>
  <c r="AL21" i="13"/>
  <c r="AL22" i="13" s="1"/>
  <c r="AL23" i="13" s="1"/>
  <c r="AL24" i="13" s="1"/>
  <c r="AL25" i="13" s="1"/>
  <c r="AL26" i="13" s="1"/>
  <c r="AL27" i="13" s="1"/>
  <c r="AL28" i="13" s="1"/>
  <c r="AL29" i="13" s="1"/>
  <c r="AL30" i="13" s="1"/>
  <c r="AL31" i="13" s="1"/>
  <c r="AL32" i="13" s="1"/>
  <c r="M93" i="13"/>
  <c r="M96" i="13" s="1"/>
  <c r="I45" i="13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AC33" i="13"/>
  <c r="AC34" i="13" s="1"/>
  <c r="AC35" i="13" s="1"/>
  <c r="AC36" i="13" s="1"/>
  <c r="AC37" i="13" s="1"/>
  <c r="AC38" i="13" s="1"/>
  <c r="AC39" i="13" s="1"/>
  <c r="AC40" i="13" s="1"/>
  <c r="AC41" i="13" s="1"/>
  <c r="AC42" i="13" s="1"/>
  <c r="AC43" i="13" s="1"/>
  <c r="AC44" i="13" s="1"/>
  <c r="P93" i="13"/>
  <c r="P101" i="13" s="1"/>
  <c r="F68" i="13"/>
  <c r="F35" i="13"/>
  <c r="F45" i="13"/>
  <c r="F61" i="13"/>
  <c r="F85" i="13"/>
  <c r="F103" i="13"/>
  <c r="F97" i="13"/>
  <c r="T33" i="13"/>
  <c r="T34" i="13" s="1"/>
  <c r="T35" i="13" s="1"/>
  <c r="T36" i="13" s="1"/>
  <c r="T37" i="13" s="1"/>
  <c r="T38" i="13" s="1"/>
  <c r="T39" i="13" s="1"/>
  <c r="T40" i="13" s="1"/>
  <c r="T41" i="13" s="1"/>
  <c r="T42" i="13" s="1"/>
  <c r="T43" i="13" s="1"/>
  <c r="T44" i="13" s="1"/>
  <c r="E22" i="13"/>
  <c r="AM117" i="13"/>
  <c r="AM118" i="13" s="1"/>
  <c r="AM119" i="13" s="1"/>
  <c r="AM120" i="13" s="1"/>
  <c r="AM121" i="13" s="1"/>
  <c r="AM122" i="13" s="1"/>
  <c r="AM123" i="13" s="1"/>
  <c r="AM124" i="13" s="1"/>
  <c r="AM125" i="13" s="1"/>
  <c r="AM126" i="13" s="1"/>
  <c r="AM127" i="13" s="1"/>
  <c r="AM128" i="13" s="1"/>
  <c r="AF45" i="13"/>
  <c r="BF129" i="13"/>
  <c r="BF130" i="13" s="1"/>
  <c r="E29" i="13"/>
  <c r="BE105" i="13"/>
  <c r="BD105" i="13"/>
  <c r="BD106" i="13" s="1"/>
  <c r="BD107" i="13" s="1"/>
  <c r="BD108" i="13" s="1"/>
  <c r="BD109" i="13" s="1"/>
  <c r="BD110" i="13" s="1"/>
  <c r="BD111" i="13" s="1"/>
  <c r="BD112" i="13" s="1"/>
  <c r="BD113" i="13" s="1"/>
  <c r="BD114" i="13" s="1"/>
  <c r="BD115" i="13" s="1"/>
  <c r="BD116" i="13" s="1"/>
  <c r="BE117" i="13"/>
  <c r="BE118" i="13" s="1"/>
  <c r="BE119" i="13" s="1"/>
  <c r="BE120" i="13" s="1"/>
  <c r="BE121" i="13" s="1"/>
  <c r="BE122" i="13" s="1"/>
  <c r="BE123" i="13" s="1"/>
  <c r="BE124" i="13" s="1"/>
  <c r="BE125" i="13" s="1"/>
  <c r="BE126" i="13" s="1"/>
  <c r="BE127" i="13" s="1"/>
  <c r="BE128" i="13" s="1"/>
  <c r="BF117" i="13"/>
  <c r="BF118" i="13" s="1"/>
  <c r="BF119" i="13" s="1"/>
  <c r="BF120" i="13" s="1"/>
  <c r="BF121" i="13" s="1"/>
  <c r="BF122" i="13" s="1"/>
  <c r="BF123" i="13" s="1"/>
  <c r="BF124" i="13" s="1"/>
  <c r="BF125" i="13" s="1"/>
  <c r="BF126" i="13" s="1"/>
  <c r="BF127" i="13" s="1"/>
  <c r="BF128" i="13" s="1"/>
  <c r="AL93" i="13"/>
  <c r="F44" i="13"/>
  <c r="BB79" i="13"/>
  <c r="T129" i="13"/>
  <c r="T130" i="13" s="1"/>
  <c r="T131" i="13" s="1"/>
  <c r="T132" i="13" s="1"/>
  <c r="T133" i="13" s="1"/>
  <c r="T134" i="13" s="1"/>
  <c r="T135" i="13" s="1"/>
  <c r="T136" i="13" s="1"/>
  <c r="AM129" i="13"/>
  <c r="AM130" i="13" s="1"/>
  <c r="BF93" i="13"/>
  <c r="BF103" i="13" s="1"/>
  <c r="F41" i="13"/>
  <c r="AF117" i="13"/>
  <c r="AF118" i="13" s="1"/>
  <c r="AF119" i="13" s="1"/>
  <c r="AF120" i="13" s="1"/>
  <c r="AF121" i="13" s="1"/>
  <c r="AF122" i="13" s="1"/>
  <c r="AF123" i="13" s="1"/>
  <c r="AF124" i="13" s="1"/>
  <c r="AF125" i="13" s="1"/>
  <c r="AF126" i="13" s="1"/>
  <c r="AF127" i="13" s="1"/>
  <c r="AF128" i="13" s="1"/>
  <c r="F42" i="13"/>
  <c r="M117" i="13"/>
  <c r="M118" i="13" s="1"/>
  <c r="M119" i="13" s="1"/>
  <c r="M120" i="13" s="1"/>
  <c r="M121" i="13" s="1"/>
  <c r="M122" i="13" s="1"/>
  <c r="M123" i="13" s="1"/>
  <c r="M124" i="13" s="1"/>
  <c r="M125" i="13" s="1"/>
  <c r="M126" i="13" s="1"/>
  <c r="M127" i="13" s="1"/>
  <c r="M128" i="13" s="1"/>
  <c r="F66" i="13"/>
  <c r="BB70" i="13"/>
  <c r="F78" i="13"/>
  <c r="AF81" i="13"/>
  <c r="AF84" i="13" s="1"/>
  <c r="F76" i="13"/>
  <c r="F86" i="13"/>
  <c r="AS93" i="13"/>
  <c r="AS103" i="13" s="1"/>
  <c r="F104" i="13"/>
  <c r="I105" i="13"/>
  <c r="I106" i="13" s="1"/>
  <c r="I107" i="13" s="1"/>
  <c r="I108" i="13" s="1"/>
  <c r="I109" i="13" s="1"/>
  <c r="I110" i="13" s="1"/>
  <c r="I111" i="13" s="1"/>
  <c r="I112" i="13" s="1"/>
  <c r="I113" i="13" s="1"/>
  <c r="I114" i="13" s="1"/>
  <c r="I115" i="13" s="1"/>
  <c r="I116" i="13" s="1"/>
  <c r="T105" i="13"/>
  <c r="T111" i="13" s="1"/>
  <c r="AM105" i="13"/>
  <c r="BF105" i="13"/>
  <c r="P105" i="13"/>
  <c r="F105" i="13"/>
  <c r="AS105" i="13"/>
  <c r="F108" i="13"/>
  <c r="F109" i="13"/>
  <c r="AF105" i="13"/>
  <c r="F77" i="13"/>
  <c r="I81" i="13"/>
  <c r="BD82" i="13"/>
  <c r="BD83" i="13" s="1"/>
  <c r="BD84" i="13" s="1"/>
  <c r="BD85" i="13" s="1"/>
  <c r="BD86" i="13" s="1"/>
  <c r="BD87" i="13" s="1"/>
  <c r="BD88" i="13" s="1"/>
  <c r="BD89" i="13" s="1"/>
  <c r="BD90" i="13" s="1"/>
  <c r="BD91" i="13" s="1"/>
  <c r="BD92" i="13" s="1"/>
  <c r="BE82" i="13"/>
  <c r="BE83" i="13" s="1"/>
  <c r="BE84" i="13" s="1"/>
  <c r="BE85" i="13" s="1"/>
  <c r="BE86" i="13" s="1"/>
  <c r="BE87" i="13" s="1"/>
  <c r="BE88" i="13" s="1"/>
  <c r="BE89" i="13" s="1"/>
  <c r="BE90" i="13" s="1"/>
  <c r="BE91" i="13" s="1"/>
  <c r="BE92" i="13" s="1"/>
  <c r="AR81" i="13"/>
  <c r="AC81" i="13"/>
  <c r="F81" i="13"/>
  <c r="M81" i="13"/>
  <c r="P81" i="13"/>
  <c r="F115" i="13"/>
  <c r="F36" i="13"/>
  <c r="F37" i="13"/>
  <c r="AF33" i="13"/>
  <c r="AF34" i="13" s="1"/>
  <c r="AF35" i="13" s="1"/>
  <c r="AF36" i="13" s="1"/>
  <c r="AF37" i="13" s="1"/>
  <c r="AF38" i="13" s="1"/>
  <c r="AF39" i="13" s="1"/>
  <c r="AF40" i="13" s="1"/>
  <c r="AF41" i="13" s="1"/>
  <c r="AF42" i="13" s="1"/>
  <c r="AF43" i="13" s="1"/>
  <c r="AF44" i="13" s="1"/>
  <c r="AL33" i="13"/>
  <c r="AL34" i="13" s="1"/>
  <c r="AL35" i="13" s="1"/>
  <c r="AL36" i="13" s="1"/>
  <c r="AL37" i="13" s="1"/>
  <c r="AL38" i="13" s="1"/>
  <c r="AL39" i="13" s="1"/>
  <c r="AL40" i="13" s="1"/>
  <c r="AL41" i="13" s="1"/>
  <c r="AL42" i="13" s="1"/>
  <c r="AL43" i="13" s="1"/>
  <c r="AL44" i="13" s="1"/>
  <c r="M33" i="13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F33" i="13"/>
  <c r="F32" i="13"/>
  <c r="P33" i="13"/>
  <c r="P34" i="13" s="1"/>
  <c r="P35" i="13" s="1"/>
  <c r="P36" i="13" s="1"/>
  <c r="P37" i="13" s="1"/>
  <c r="P38" i="13" s="1"/>
  <c r="P39" i="13" s="1"/>
  <c r="P40" i="13" s="1"/>
  <c r="P41" i="13" s="1"/>
  <c r="P42" i="13" s="1"/>
  <c r="P43" i="13" s="1"/>
  <c r="P44" i="13" s="1"/>
  <c r="E27" i="13"/>
  <c r="E25" i="13"/>
  <c r="E26" i="13"/>
  <c r="E28" i="13"/>
  <c r="E24" i="13"/>
  <c r="E23" i="13"/>
  <c r="E21" i="13"/>
  <c r="E20" i="13"/>
  <c r="F20" i="13" s="1"/>
  <c r="F48" i="13"/>
  <c r="F49" i="13"/>
  <c r="F52" i="13"/>
  <c r="F53" i="13"/>
  <c r="AL57" i="13"/>
  <c r="F57" i="13"/>
  <c r="F65" i="13"/>
  <c r="F64" i="13"/>
  <c r="AY69" i="13"/>
  <c r="BB76" i="13"/>
  <c r="P69" i="13"/>
  <c r="AC69" i="13"/>
  <c r="AC70" i="13" s="1"/>
  <c r="AC71" i="13" s="1"/>
  <c r="BB74" i="13"/>
  <c r="AL69" i="13"/>
  <c r="F69" i="13"/>
  <c r="BB75" i="13"/>
  <c r="BB72" i="13"/>
  <c r="BB80" i="13"/>
  <c r="I69" i="13"/>
  <c r="M69" i="13"/>
  <c r="BB77" i="13"/>
  <c r="BB69" i="13"/>
  <c r="BB81" i="13" s="1"/>
  <c r="BB78" i="13"/>
  <c r="BB73" i="13"/>
  <c r="F72" i="13"/>
  <c r="F73" i="13"/>
  <c r="F90" i="13"/>
  <c r="F91" i="13"/>
  <c r="F101" i="13"/>
  <c r="F100" i="13"/>
  <c r="M105" i="13"/>
  <c r="M108" i="13" s="1"/>
  <c r="AF69" i="13"/>
  <c r="AF70" i="13" s="1"/>
  <c r="AF71" i="13" s="1"/>
  <c r="F87" i="13"/>
  <c r="I117" i="13"/>
  <c r="I118" i="13" s="1"/>
  <c r="I119" i="13" s="1"/>
  <c r="I120" i="13" s="1"/>
  <c r="I121" i="13" s="1"/>
  <c r="I122" i="13" s="1"/>
  <c r="I123" i="13" s="1"/>
  <c r="I124" i="13" s="1"/>
  <c r="I125" i="13" s="1"/>
  <c r="I126" i="13" s="1"/>
  <c r="I127" i="13" s="1"/>
  <c r="I128" i="13" s="1"/>
  <c r="M129" i="13"/>
  <c r="I129" i="13"/>
  <c r="I130" i="13" s="1"/>
  <c r="I131" i="13" s="1"/>
  <c r="I132" i="13" s="1"/>
  <c r="I133" i="13" s="1"/>
  <c r="I134" i="13" s="1"/>
  <c r="I135" i="13" s="1"/>
  <c r="I136" i="13" s="1"/>
  <c r="P129" i="13"/>
  <c r="P130" i="13" s="1"/>
  <c r="P131" i="13" s="1"/>
  <c r="P132" i="13" s="1"/>
  <c r="P133" i="13" s="1"/>
  <c r="P134" i="13" s="1"/>
  <c r="P135" i="13" s="1"/>
  <c r="P136" i="13" s="1"/>
  <c r="F96" i="13"/>
  <c r="F116" i="13"/>
  <c r="F88" i="13"/>
  <c r="F89" i="13"/>
  <c r="F59" i="1"/>
  <c r="F60" i="1"/>
  <c r="AD41" i="1"/>
  <c r="I41" i="1"/>
  <c r="L41" i="1"/>
  <c r="R41" i="1"/>
  <c r="O41" i="1"/>
  <c r="AA41" i="1"/>
  <c r="U41" i="1"/>
  <c r="F40" i="1"/>
  <c r="F118" i="13"/>
  <c r="F119" i="13"/>
  <c r="F63" i="1"/>
  <c r="F62" i="1"/>
  <c r="F41" i="1"/>
  <c r="F42" i="1"/>
  <c r="F58" i="13"/>
  <c r="F59" i="13"/>
  <c r="F71" i="13"/>
  <c r="F70" i="13"/>
  <c r="F38" i="13"/>
  <c r="F39" i="13"/>
  <c r="AL45" i="13"/>
  <c r="AL46" i="13" s="1"/>
  <c r="AL47" i="13" s="1"/>
  <c r="AL48" i="13" s="1"/>
  <c r="AL49" i="13" s="1"/>
  <c r="AL50" i="13" s="1"/>
  <c r="AL51" i="13" s="1"/>
  <c r="AL52" i="13" s="1"/>
  <c r="AL53" i="13" s="1"/>
  <c r="AL54" i="13" s="1"/>
  <c r="AL55" i="13" s="1"/>
  <c r="AL56" i="13" s="1"/>
  <c r="T45" i="13"/>
  <c r="T46" i="13" s="1"/>
  <c r="T47" i="13" s="1"/>
  <c r="T48" i="13" s="1"/>
  <c r="T49" i="13" s="1"/>
  <c r="T50" i="13" s="1"/>
  <c r="T51" i="13" s="1"/>
  <c r="T52" i="13" s="1"/>
  <c r="T53" i="13" s="1"/>
  <c r="T54" i="13" s="1"/>
  <c r="T55" i="13" s="1"/>
  <c r="T56" i="13" s="1"/>
  <c r="P45" i="13"/>
  <c r="P46" i="13" s="1"/>
  <c r="P47" i="13" s="1"/>
  <c r="P48" i="13" s="1"/>
  <c r="P49" i="13" s="1"/>
  <c r="P50" i="13" s="1"/>
  <c r="P51" i="13" s="1"/>
  <c r="P52" i="13" s="1"/>
  <c r="P53" i="13" s="1"/>
  <c r="P54" i="13" s="1"/>
  <c r="P55" i="13" s="1"/>
  <c r="P56" i="13" s="1"/>
  <c r="P117" i="13"/>
  <c r="P118" i="13" s="1"/>
  <c r="P119" i="13" s="1"/>
  <c r="P120" i="13" s="1"/>
  <c r="P121" i="13" s="1"/>
  <c r="P122" i="13" s="1"/>
  <c r="P123" i="13" s="1"/>
  <c r="P124" i="13" s="1"/>
  <c r="P125" i="13" s="1"/>
  <c r="P126" i="13" s="1"/>
  <c r="P127" i="13" s="1"/>
  <c r="P128" i="13" s="1"/>
  <c r="T69" i="13"/>
  <c r="M45" i="13"/>
  <c r="M46" i="13" s="1"/>
  <c r="M47" i="13" s="1"/>
  <c r="M48" i="13" s="1"/>
  <c r="M49" i="13" s="1"/>
  <c r="M50" i="13" s="1"/>
  <c r="M51" i="13" s="1"/>
  <c r="M52" i="13" s="1"/>
  <c r="M53" i="13" s="1"/>
  <c r="M54" i="13" s="1"/>
  <c r="M55" i="13" s="1"/>
  <c r="M56" i="13" s="1"/>
  <c r="F92" i="13"/>
  <c r="BD93" i="13"/>
  <c r="BD94" i="13" s="1"/>
  <c r="BD95" i="13" s="1"/>
  <c r="BD96" i="13" s="1"/>
  <c r="BD97" i="13" s="1"/>
  <c r="BD98" i="13" s="1"/>
  <c r="BD99" i="13" s="1"/>
  <c r="BD100" i="13" s="1"/>
  <c r="BD101" i="13" s="1"/>
  <c r="BD102" i="13" s="1"/>
  <c r="BD103" i="13" s="1"/>
  <c r="BD104" i="13" s="1"/>
  <c r="T93" i="13"/>
  <c r="BE93" i="13"/>
  <c r="I93" i="13"/>
  <c r="AF93" i="13"/>
  <c r="AC93" i="13"/>
  <c r="AM93" i="13"/>
  <c r="F80" i="13"/>
  <c r="T81" i="13"/>
  <c r="AM81" i="13"/>
  <c r="X65" i="1"/>
  <c r="F65" i="1"/>
  <c r="I65" i="1"/>
  <c r="L65" i="1"/>
  <c r="T57" i="13"/>
  <c r="M57" i="13"/>
  <c r="I57" i="13"/>
  <c r="P57" i="13"/>
  <c r="AF57" i="13"/>
  <c r="AC57" i="13"/>
  <c r="F114" i="13"/>
  <c r="AC112" i="13" l="1"/>
  <c r="AS178" i="13"/>
  <c r="BM178" i="13" s="1"/>
  <c r="BM177" i="13"/>
  <c r="AC178" i="13"/>
  <c r="BL178" i="13" s="1"/>
  <c r="BL177" i="13"/>
  <c r="F30" i="13"/>
  <c r="AA33" i="1"/>
  <c r="AA34" i="1" s="1"/>
  <c r="AA35" i="1" s="1"/>
  <c r="AA36" i="1" s="1"/>
  <c r="L33" i="1"/>
  <c r="L34" i="1" s="1"/>
  <c r="L35" i="1" s="1"/>
  <c r="L36" i="1" s="1"/>
  <c r="X54" i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BF100" i="13"/>
  <c r="M98" i="13"/>
  <c r="M99" i="13"/>
  <c r="M102" i="13"/>
  <c r="T112" i="13"/>
  <c r="M104" i="13"/>
  <c r="X42" i="1"/>
  <c r="AA37" i="1"/>
  <c r="AA38" i="1" s="1"/>
  <c r="AA39" i="1" s="1"/>
  <c r="AA40" i="1" s="1"/>
  <c r="AC115" i="13"/>
  <c r="AC113" i="13"/>
  <c r="L37" i="1"/>
  <c r="L38" i="1" s="1"/>
  <c r="L39" i="1" s="1"/>
  <c r="L40" i="1" s="1"/>
  <c r="X30" i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AG37" i="1"/>
  <c r="AG38" i="1" s="1"/>
  <c r="AG39" i="1" s="1"/>
  <c r="AG40" i="1" s="1"/>
  <c r="AF88" i="13"/>
  <c r="M111" i="13"/>
  <c r="U54" i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L54" i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I54" i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F18" i="13"/>
  <c r="T107" i="13"/>
  <c r="AL85" i="13"/>
  <c r="BF94" i="13"/>
  <c r="AD54" i="1"/>
  <c r="AD55" i="1" s="1"/>
  <c r="AD56" i="1" s="1"/>
  <c r="AD57" i="1" s="1"/>
  <c r="AD58" i="1" s="1"/>
  <c r="X43" i="1"/>
  <c r="X44" i="1" s="1"/>
  <c r="X45" i="1" s="1"/>
  <c r="X46" i="1" s="1"/>
  <c r="X47" i="1" s="1"/>
  <c r="X48" i="1" s="1"/>
  <c r="X49" i="1" s="1"/>
  <c r="X50" i="1" s="1"/>
  <c r="X51" i="1" s="1"/>
  <c r="X52" i="1" s="1"/>
  <c r="T106" i="13"/>
  <c r="AD66" i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T110" i="13"/>
  <c r="AA54" i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R54" i="1"/>
  <c r="R55" i="1" s="1"/>
  <c r="R56" i="1" s="1"/>
  <c r="R57" i="1" s="1"/>
  <c r="R58" i="1" s="1"/>
  <c r="R59" i="1" s="1"/>
  <c r="O30" i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R30" i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O54" i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M156" i="13"/>
  <c r="AO156" i="13" s="1"/>
  <c r="AS152" i="13"/>
  <c r="AS153" i="13" s="1"/>
  <c r="AS154" i="13" s="1"/>
  <c r="AL87" i="13"/>
  <c r="AG41" i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I8" i="13" s="1"/>
  <c r="X66" i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U42" i="1"/>
  <c r="L42" i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AL91" i="13"/>
  <c r="AL86" i="13"/>
  <c r="BF95" i="13"/>
  <c r="BF98" i="13"/>
  <c r="BF101" i="13"/>
  <c r="AL84" i="13"/>
  <c r="AL92" i="13"/>
  <c r="I30" i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AD30" i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U30" i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AL88" i="13"/>
  <c r="BF99" i="13"/>
  <c r="BF97" i="13"/>
  <c r="AL90" i="13"/>
  <c r="M144" i="13"/>
  <c r="M145" i="13" s="1"/>
  <c r="M146" i="13" s="1"/>
  <c r="M147" i="13" s="1"/>
  <c r="AO143" i="13"/>
  <c r="AF100" i="1"/>
  <c r="AH19" i="13"/>
  <c r="AH20" i="13" s="1"/>
  <c r="AH21" i="13" s="1"/>
  <c r="L66" i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I66" i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O42" i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AD42" i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BF96" i="13"/>
  <c r="AD59" i="1"/>
  <c r="AD60" i="1" s="1"/>
  <c r="AD61" i="1" s="1"/>
  <c r="AD62" i="1" s="1"/>
  <c r="AD63" i="1" s="1"/>
  <c r="AD64" i="1" s="1"/>
  <c r="AC111" i="13"/>
  <c r="AC109" i="13"/>
  <c r="AC110" i="13"/>
  <c r="AC106" i="13"/>
  <c r="P100" i="13"/>
  <c r="AC107" i="13"/>
  <c r="AC108" i="13"/>
  <c r="AC114" i="13"/>
  <c r="P94" i="13"/>
  <c r="I154" i="13"/>
  <c r="M101" i="13"/>
  <c r="AF91" i="13"/>
  <c r="AC144" i="13"/>
  <c r="AC145" i="13" s="1"/>
  <c r="AC146" i="13" s="1"/>
  <c r="AC147" i="13" s="1"/>
  <c r="AC148" i="13" s="1"/>
  <c r="T154" i="13"/>
  <c r="F23" i="13"/>
  <c r="M100" i="13"/>
  <c r="AL82" i="13"/>
  <c r="AL83" i="13"/>
  <c r="P138" i="13"/>
  <c r="P137" i="13"/>
  <c r="P139" i="13" s="1"/>
  <c r="P140" i="13" s="1"/>
  <c r="P141" i="13" s="1"/>
  <c r="P142" i="13" s="1"/>
  <c r="I137" i="13"/>
  <c r="I139" i="13" s="1"/>
  <c r="I140" i="13" s="1"/>
  <c r="I141" i="13" s="1"/>
  <c r="I142" i="13" s="1"/>
  <c r="I138" i="13"/>
  <c r="T138" i="13"/>
  <c r="T137" i="13"/>
  <c r="T139" i="13" s="1"/>
  <c r="T140" i="13" s="1"/>
  <c r="T141" i="13" s="1"/>
  <c r="T142" i="13" s="1"/>
  <c r="AS100" i="13"/>
  <c r="P96" i="13"/>
  <c r="P103" i="13"/>
  <c r="AS102" i="13"/>
  <c r="AS94" i="13"/>
  <c r="P102" i="13"/>
  <c r="P97" i="13"/>
  <c r="P104" i="13"/>
  <c r="AS98" i="13"/>
  <c r="AS99" i="13"/>
  <c r="AS97" i="13"/>
  <c r="P98" i="13"/>
  <c r="P95" i="13"/>
  <c r="P99" i="13"/>
  <c r="AS101" i="13"/>
  <c r="AS95" i="13"/>
  <c r="M95" i="13"/>
  <c r="M97" i="13"/>
  <c r="M94" i="13"/>
  <c r="M103" i="13" s="1"/>
  <c r="M130" i="13"/>
  <c r="M131" i="13" s="1"/>
  <c r="M132" i="13" s="1"/>
  <c r="M133" i="13" s="1"/>
  <c r="M134" i="13" s="1"/>
  <c r="M135" i="13" s="1"/>
  <c r="M136" i="13" s="1"/>
  <c r="AM132" i="13"/>
  <c r="AM133" i="13" s="1"/>
  <c r="AM134" i="13" s="1"/>
  <c r="AM135" i="13" s="1"/>
  <c r="AM136" i="13" s="1"/>
  <c r="AM131" i="13"/>
  <c r="AF89" i="13"/>
  <c r="AF87" i="13"/>
  <c r="AL94" i="13"/>
  <c r="AL98" i="13"/>
  <c r="AL97" i="13"/>
  <c r="AL102" i="13"/>
  <c r="AL101" i="13"/>
  <c r="AL95" i="13"/>
  <c r="AL103" i="13"/>
  <c r="AL99" i="13"/>
  <c r="AL104" i="13"/>
  <c r="AL96" i="13"/>
  <c r="AL100" i="13"/>
  <c r="T113" i="13"/>
  <c r="T109" i="13"/>
  <c r="AF90" i="13"/>
  <c r="AF86" i="13"/>
  <c r="F25" i="13"/>
  <c r="AF83" i="13"/>
  <c r="AF85" i="13"/>
  <c r="AF82" i="13"/>
  <c r="AF92" i="13"/>
  <c r="AS96" i="13"/>
  <c r="AS104" i="13"/>
  <c r="BF102" i="13"/>
  <c r="BF104" i="13"/>
  <c r="P92" i="13"/>
  <c r="P90" i="13"/>
  <c r="P84" i="13"/>
  <c r="P87" i="13"/>
  <c r="P91" i="13"/>
  <c r="P88" i="13"/>
  <c r="P83" i="13"/>
  <c r="P86" i="13"/>
  <c r="P82" i="13"/>
  <c r="P85" i="13"/>
  <c r="P89" i="13"/>
  <c r="BF107" i="13"/>
  <c r="BF106" i="13"/>
  <c r="BF114" i="13"/>
  <c r="BF110" i="13"/>
  <c r="BF113" i="13"/>
  <c r="BF116" i="13"/>
  <c r="BF111" i="13"/>
  <c r="BF112" i="13"/>
  <c r="BF108" i="13"/>
  <c r="BF115" i="13"/>
  <c r="BF109" i="13"/>
  <c r="M114" i="13"/>
  <c r="M113" i="13"/>
  <c r="M106" i="13"/>
  <c r="M112" i="13"/>
  <c r="M109" i="13"/>
  <c r="M115" i="13"/>
  <c r="M110" i="13"/>
  <c r="M107" i="13"/>
  <c r="M116" i="13"/>
  <c r="I71" i="13"/>
  <c r="I79" i="13"/>
  <c r="I76" i="13"/>
  <c r="I80" i="13"/>
  <c r="I74" i="13"/>
  <c r="I77" i="13"/>
  <c r="I72" i="13"/>
  <c r="I70" i="13"/>
  <c r="I78" i="13"/>
  <c r="I75" i="13"/>
  <c r="I73" i="13"/>
  <c r="P76" i="13"/>
  <c r="P79" i="13"/>
  <c r="P80" i="13"/>
  <c r="P73" i="13"/>
  <c r="P74" i="13"/>
  <c r="P75" i="13"/>
  <c r="P71" i="13"/>
  <c r="P78" i="13"/>
  <c r="P77" i="13"/>
  <c r="P72" i="13"/>
  <c r="P70" i="13"/>
  <c r="F21" i="13"/>
  <c r="F26" i="13"/>
  <c r="F22" i="13"/>
  <c r="M89" i="13"/>
  <c r="M88" i="13"/>
  <c r="M82" i="13"/>
  <c r="M91" i="13"/>
  <c r="M84" i="13"/>
  <c r="M87" i="13"/>
  <c r="M86" i="13"/>
  <c r="M90" i="13"/>
  <c r="M83" i="13"/>
  <c r="M92" i="13"/>
  <c r="M85" i="13"/>
  <c r="AS108" i="13"/>
  <c r="AS115" i="13"/>
  <c r="AS106" i="13"/>
  <c r="AS114" i="13"/>
  <c r="AS112" i="13"/>
  <c r="AS110" i="13"/>
  <c r="AS111" i="13"/>
  <c r="AS107" i="13"/>
  <c r="AS116" i="13"/>
  <c r="AS109" i="13"/>
  <c r="AS113" i="13"/>
  <c r="AM113" i="13"/>
  <c r="AM107" i="13"/>
  <c r="AM116" i="13"/>
  <c r="AM114" i="13"/>
  <c r="AM108" i="13"/>
  <c r="AM111" i="13"/>
  <c r="AM115" i="13"/>
  <c r="AM110" i="13"/>
  <c r="AM112" i="13"/>
  <c r="AM106" i="13"/>
  <c r="AM109" i="13"/>
  <c r="F29" i="13"/>
  <c r="F28" i="13"/>
  <c r="BB86" i="13"/>
  <c r="BB91" i="13"/>
  <c r="BB92" i="13"/>
  <c r="BB93" i="13"/>
  <c r="BB85" i="13"/>
  <c r="BB84" i="13"/>
  <c r="BB90" i="13"/>
  <c r="BB89" i="13"/>
  <c r="BB87" i="13"/>
  <c r="BB83" i="13"/>
  <c r="BB82" i="13"/>
  <c r="BB88" i="13"/>
  <c r="AM69" i="13"/>
  <c r="AL71" i="13"/>
  <c r="AL70" i="13"/>
  <c r="AF116" i="13"/>
  <c r="AF112" i="13"/>
  <c r="AF114" i="13"/>
  <c r="AF108" i="13"/>
  <c r="AF113" i="13"/>
  <c r="AF115" i="13"/>
  <c r="AF111" i="13"/>
  <c r="AF106" i="13"/>
  <c r="AF109" i="13"/>
  <c r="AF107" i="13"/>
  <c r="AF110" i="13"/>
  <c r="BE109" i="13"/>
  <c r="BE111" i="13"/>
  <c r="BE110" i="13"/>
  <c r="BE114" i="13"/>
  <c r="BE113" i="13"/>
  <c r="BE107" i="13"/>
  <c r="BE106" i="13"/>
  <c r="BE112" i="13"/>
  <c r="BE108" i="13"/>
  <c r="BE116" i="13"/>
  <c r="BE115" i="13"/>
  <c r="M75" i="13"/>
  <c r="M71" i="13"/>
  <c r="M70" i="13"/>
  <c r="M79" i="13"/>
  <c r="M72" i="13"/>
  <c r="M76" i="13"/>
  <c r="M73" i="13"/>
  <c r="M80" i="13"/>
  <c r="M77" i="13"/>
  <c r="M78" i="13"/>
  <c r="M74" i="13"/>
  <c r="AR84" i="13"/>
  <c r="AR88" i="13"/>
  <c r="AR82" i="13"/>
  <c r="AR91" i="13"/>
  <c r="AR90" i="13"/>
  <c r="AR89" i="13"/>
  <c r="AR83" i="13"/>
  <c r="AR85" i="13"/>
  <c r="AR86" i="13"/>
  <c r="AR92" i="13"/>
  <c r="AR87" i="13"/>
  <c r="AY72" i="13"/>
  <c r="AY73" i="13"/>
  <c r="AY79" i="13"/>
  <c r="AY78" i="13"/>
  <c r="AY75" i="13"/>
  <c r="AY70" i="13"/>
  <c r="AY81" i="13"/>
  <c r="AY74" i="13"/>
  <c r="AY80" i="13"/>
  <c r="AY71" i="13"/>
  <c r="AY76" i="13"/>
  <c r="AY77" i="13"/>
  <c r="AL66" i="13"/>
  <c r="AL63" i="13"/>
  <c r="AL65" i="13"/>
  <c r="AL67" i="13"/>
  <c r="AL61" i="13"/>
  <c r="AL60" i="13"/>
  <c r="AL62" i="13"/>
  <c r="AL64" i="13"/>
  <c r="AL68" i="13"/>
  <c r="AL58" i="13"/>
  <c r="AL59" i="13"/>
  <c r="F24" i="13"/>
  <c r="F27" i="13"/>
  <c r="AC85" i="13"/>
  <c r="AC88" i="13"/>
  <c r="AC92" i="13"/>
  <c r="AC84" i="13"/>
  <c r="AC90" i="13"/>
  <c r="AC83" i="13"/>
  <c r="AC82" i="13"/>
  <c r="AC86" i="13"/>
  <c r="AC87" i="13"/>
  <c r="AC91" i="13"/>
  <c r="AC89" i="13"/>
  <c r="I83" i="13"/>
  <c r="I87" i="13"/>
  <c r="I86" i="13"/>
  <c r="I92" i="13"/>
  <c r="I85" i="13"/>
  <c r="I89" i="13"/>
  <c r="I91" i="13"/>
  <c r="I82" i="13"/>
  <c r="I90" i="13"/>
  <c r="I84" i="13"/>
  <c r="I88" i="13"/>
  <c r="P113" i="13"/>
  <c r="P111" i="13"/>
  <c r="P115" i="13"/>
  <c r="P116" i="13"/>
  <c r="P106" i="13"/>
  <c r="P107" i="13"/>
  <c r="P108" i="13"/>
  <c r="P109" i="13"/>
  <c r="P114" i="13"/>
  <c r="P110" i="13"/>
  <c r="P112" i="13"/>
  <c r="T115" i="13"/>
  <c r="T114" i="13"/>
  <c r="T116" i="13"/>
  <c r="T108" i="13"/>
  <c r="AC122" i="13"/>
  <c r="AF94" i="13"/>
  <c r="AF97" i="13"/>
  <c r="AF98" i="13"/>
  <c r="AF103" i="13"/>
  <c r="AF99" i="13"/>
  <c r="AF101" i="13"/>
  <c r="AF96" i="13"/>
  <c r="AF102" i="13"/>
  <c r="AF100" i="13"/>
  <c r="AF95" i="13"/>
  <c r="AF104" i="13"/>
  <c r="AM91" i="13"/>
  <c r="AM92" i="13"/>
  <c r="AM90" i="13"/>
  <c r="AM83" i="13"/>
  <c r="AM86" i="13"/>
  <c r="AM82" i="13"/>
  <c r="AM88" i="13"/>
  <c r="AM85" i="13"/>
  <c r="AM89" i="13"/>
  <c r="AM84" i="13"/>
  <c r="AM87" i="13"/>
  <c r="I96" i="13"/>
  <c r="I95" i="13"/>
  <c r="I97" i="13"/>
  <c r="I104" i="13"/>
  <c r="I102" i="13"/>
  <c r="I94" i="13"/>
  <c r="I103" i="13" s="1"/>
  <c r="I100" i="13"/>
  <c r="I101" i="13"/>
  <c r="I99" i="13"/>
  <c r="I98" i="13"/>
  <c r="AA66" i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R42" i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O66" i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R60" i="1"/>
  <c r="R61" i="1" s="1"/>
  <c r="R62" i="1" s="1"/>
  <c r="R63" i="1" s="1"/>
  <c r="R64" i="1" s="1"/>
  <c r="T63" i="13"/>
  <c r="T66" i="13"/>
  <c r="T67" i="13"/>
  <c r="T60" i="13"/>
  <c r="T59" i="13"/>
  <c r="T68" i="13"/>
  <c r="T65" i="13"/>
  <c r="T61" i="13"/>
  <c r="T64" i="13"/>
  <c r="T58" i="13"/>
  <c r="T62" i="13"/>
  <c r="P58" i="13"/>
  <c r="P67" i="13"/>
  <c r="P62" i="13"/>
  <c r="P59" i="13"/>
  <c r="P60" i="13"/>
  <c r="P63" i="13"/>
  <c r="P61" i="13"/>
  <c r="P64" i="13"/>
  <c r="P68" i="13"/>
  <c r="P66" i="13"/>
  <c r="P65" i="13"/>
  <c r="I58" i="13"/>
  <c r="I62" i="13"/>
  <c r="I64" i="13"/>
  <c r="I63" i="13"/>
  <c r="I67" i="13"/>
  <c r="I60" i="13"/>
  <c r="I66" i="13"/>
  <c r="I59" i="13"/>
  <c r="I65" i="13"/>
  <c r="I61" i="13"/>
  <c r="I68" i="13"/>
  <c r="T82" i="13"/>
  <c r="T85" i="13"/>
  <c r="T88" i="13"/>
  <c r="T92" i="13"/>
  <c r="T83" i="13"/>
  <c r="T89" i="13"/>
  <c r="T84" i="13"/>
  <c r="T87" i="13"/>
  <c r="T90" i="13"/>
  <c r="T86" i="13"/>
  <c r="T91" i="13"/>
  <c r="AM103" i="13"/>
  <c r="AM96" i="13"/>
  <c r="AM99" i="13"/>
  <c r="AM98" i="13"/>
  <c r="AM94" i="13"/>
  <c r="AM102" i="13"/>
  <c r="AM101" i="13"/>
  <c r="AM95" i="13"/>
  <c r="AM104" i="13"/>
  <c r="AM97" i="13"/>
  <c r="AM100" i="13"/>
  <c r="BE94" i="13"/>
  <c r="BE95" i="13"/>
  <c r="BE98" i="13"/>
  <c r="BE104" i="13"/>
  <c r="BE97" i="13"/>
  <c r="BE103" i="13"/>
  <c r="BE100" i="13"/>
  <c r="BE99" i="13"/>
  <c r="BE102" i="13"/>
  <c r="BE96" i="13"/>
  <c r="BE101" i="13"/>
  <c r="U43" i="1"/>
  <c r="U44" i="1" s="1"/>
  <c r="U45" i="1" s="1"/>
  <c r="U46" i="1" s="1"/>
  <c r="U47" i="1" s="1"/>
  <c r="U48" i="1" s="1"/>
  <c r="U49" i="1" s="1"/>
  <c r="U50" i="1" s="1"/>
  <c r="U51" i="1" s="1"/>
  <c r="U52" i="1" s="1"/>
  <c r="AF61" i="13"/>
  <c r="AF60" i="13"/>
  <c r="AF65" i="13"/>
  <c r="AF68" i="13"/>
  <c r="AF63" i="13"/>
  <c r="AF59" i="13"/>
  <c r="AF66" i="13"/>
  <c r="AF67" i="13"/>
  <c r="AF58" i="13"/>
  <c r="AF62" i="13"/>
  <c r="AF64" i="13"/>
  <c r="AC60" i="13"/>
  <c r="AC61" i="13"/>
  <c r="AC68" i="13"/>
  <c r="AC59" i="13"/>
  <c r="AC66" i="13"/>
  <c r="AC62" i="13"/>
  <c r="AC58" i="13"/>
  <c r="AC65" i="13"/>
  <c r="AC63" i="13"/>
  <c r="AC64" i="13"/>
  <c r="AC67" i="13"/>
  <c r="M58" i="13"/>
  <c r="M61" i="13"/>
  <c r="M64" i="13"/>
  <c r="M68" i="13"/>
  <c r="M63" i="13"/>
  <c r="M66" i="13"/>
  <c r="M62" i="13"/>
  <c r="M65" i="13"/>
  <c r="M67" i="13"/>
  <c r="M60" i="13"/>
  <c r="M59" i="13"/>
  <c r="U66" i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R66" i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AC97" i="13"/>
  <c r="AC99" i="13"/>
  <c r="AC103" i="13"/>
  <c r="AC96" i="13"/>
  <c r="AC95" i="13"/>
  <c r="AC102" i="13"/>
  <c r="AC100" i="13"/>
  <c r="AC101" i="13"/>
  <c r="AC104" i="13"/>
  <c r="AC98" i="13"/>
  <c r="AC94" i="13"/>
  <c r="T101" i="13"/>
  <c r="T103" i="13"/>
  <c r="T99" i="13"/>
  <c r="T98" i="13"/>
  <c r="T102" i="13"/>
  <c r="T94" i="13"/>
  <c r="T104" i="13"/>
  <c r="T97" i="13"/>
  <c r="T95" i="13"/>
  <c r="T96" i="13"/>
  <c r="T100" i="13"/>
  <c r="T79" i="13"/>
  <c r="T75" i="13"/>
  <c r="T74" i="13"/>
  <c r="T73" i="13"/>
  <c r="T72" i="13"/>
  <c r="T71" i="13"/>
  <c r="T78" i="13"/>
  <c r="T77" i="13"/>
  <c r="T70" i="13"/>
  <c r="T80" i="13"/>
  <c r="T76" i="13"/>
  <c r="AA42" i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I42" i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M157" i="13" l="1"/>
  <c r="AO157" i="13" s="1"/>
  <c r="AG89" i="1"/>
  <c r="AG90" i="1" s="1"/>
  <c r="AC149" i="13"/>
  <c r="AC150" i="13" s="1"/>
  <c r="AC151" i="13" s="1"/>
  <c r="AC152" i="13" s="1"/>
  <c r="AC153" i="13" s="1"/>
  <c r="M148" i="13"/>
  <c r="AH22" i="13"/>
  <c r="AH23" i="13" s="1"/>
  <c r="AH24" i="13" s="1"/>
  <c r="AH25" i="13" s="1"/>
  <c r="AH26" i="13" s="1"/>
  <c r="AH27" i="13" s="1"/>
  <c r="AH28" i="13" s="1"/>
  <c r="AH29" i="13" s="1"/>
  <c r="AH30" i="13" s="1"/>
  <c r="AH31" i="13" s="1"/>
  <c r="AH32" i="13" s="1"/>
  <c r="AH33" i="13" s="1"/>
  <c r="AH34" i="13" s="1"/>
  <c r="AH35" i="13" s="1"/>
  <c r="AH36" i="13" s="1"/>
  <c r="AH37" i="13" s="1"/>
  <c r="AH38" i="13" s="1"/>
  <c r="AH39" i="13" s="1"/>
  <c r="AH40" i="13" s="1"/>
  <c r="AH41" i="13" s="1"/>
  <c r="AH42" i="13" s="1"/>
  <c r="AH43" i="13" s="1"/>
  <c r="AH44" i="13" s="1"/>
  <c r="AH45" i="13" s="1"/>
  <c r="AH46" i="13" s="1"/>
  <c r="AH47" i="13" s="1"/>
  <c r="AH48" i="13" s="1"/>
  <c r="AH49" i="13" s="1"/>
  <c r="AH50" i="13" s="1"/>
  <c r="AH51" i="13" s="1"/>
  <c r="AH52" i="13" s="1"/>
  <c r="AH53" i="13" s="1"/>
  <c r="AH54" i="13" s="1"/>
  <c r="AH55" i="13" s="1"/>
  <c r="AH56" i="13" s="1"/>
  <c r="AH57" i="13" s="1"/>
  <c r="AH58" i="13" s="1"/>
  <c r="AH59" i="13" s="1"/>
  <c r="AH60" i="13" s="1"/>
  <c r="AH61" i="13" s="1"/>
  <c r="AH62" i="13" s="1"/>
  <c r="AH63" i="13" s="1"/>
  <c r="AH64" i="13" s="1"/>
  <c r="AH65" i="13" s="1"/>
  <c r="AH66" i="13" s="1"/>
  <c r="AH67" i="13" s="1"/>
  <c r="AH68" i="13" s="1"/>
  <c r="AH69" i="13" s="1"/>
  <c r="AH70" i="13" s="1"/>
  <c r="AH71" i="13" s="1"/>
  <c r="AH72" i="13" s="1"/>
  <c r="AH73" i="13" s="1"/>
  <c r="AH74" i="13" s="1"/>
  <c r="AH75" i="13" s="1"/>
  <c r="AH76" i="13" s="1"/>
  <c r="AH77" i="13" s="1"/>
  <c r="AH78" i="13" s="1"/>
  <c r="AH79" i="13" s="1"/>
  <c r="AH80" i="13" s="1"/>
  <c r="AH81" i="13" s="1"/>
  <c r="AH82" i="13" s="1"/>
  <c r="AH83" i="13" s="1"/>
  <c r="AH84" i="13" s="1"/>
  <c r="AH85" i="13" s="1"/>
  <c r="AH86" i="13" s="1"/>
  <c r="AH87" i="13" s="1"/>
  <c r="AH88" i="13" s="1"/>
  <c r="AH89" i="13" s="1"/>
  <c r="AH90" i="13" s="1"/>
  <c r="AH91" i="13" s="1"/>
  <c r="AH92" i="13" s="1"/>
  <c r="AH93" i="13" s="1"/>
  <c r="AH94" i="13" s="1"/>
  <c r="AH95" i="13" s="1"/>
  <c r="AH96" i="13" s="1"/>
  <c r="AH97" i="13" s="1"/>
  <c r="AH98" i="13" s="1"/>
  <c r="AH99" i="13" s="1"/>
  <c r="AH100" i="13" s="1"/>
  <c r="AH101" i="13" s="1"/>
  <c r="AH102" i="13" s="1"/>
  <c r="AH103" i="13" s="1"/>
  <c r="AH104" i="13" s="1"/>
  <c r="AH105" i="13" s="1"/>
  <c r="AH106" i="13" s="1"/>
  <c r="AH107" i="13" s="1"/>
  <c r="AH108" i="13" s="1"/>
  <c r="AH109" i="13" s="1"/>
  <c r="AH110" i="13" s="1"/>
  <c r="AH111" i="13" s="1"/>
  <c r="AH112" i="13" s="1"/>
  <c r="AH113" i="13" s="1"/>
  <c r="AH114" i="13" s="1"/>
  <c r="AH115" i="13" s="1"/>
  <c r="AH116" i="13" s="1"/>
  <c r="AH117" i="13" s="1"/>
  <c r="AH118" i="13" s="1"/>
  <c r="AH119" i="13" s="1"/>
  <c r="AH120" i="13" s="1"/>
  <c r="AH121" i="13" s="1"/>
  <c r="AH122" i="13" s="1"/>
  <c r="AH123" i="13" s="1"/>
  <c r="AH124" i="13" s="1"/>
  <c r="AH125" i="13" s="1"/>
  <c r="AH126" i="13" s="1"/>
  <c r="AH127" i="13" s="1"/>
  <c r="AH128" i="13" s="1"/>
  <c r="AH129" i="13" s="1"/>
  <c r="M138" i="13"/>
  <c r="M137" i="13"/>
  <c r="M139" i="13" s="1"/>
  <c r="M140" i="13" s="1"/>
  <c r="M141" i="13" s="1"/>
  <c r="M142" i="13" s="1"/>
  <c r="AM138" i="13"/>
  <c r="AM137" i="13"/>
  <c r="AM139" i="13" s="1"/>
  <c r="AM140" i="13" s="1"/>
  <c r="AM141" i="13" s="1"/>
  <c r="AM142" i="13" s="1"/>
  <c r="AM75" i="13"/>
  <c r="AM74" i="13"/>
  <c r="AM72" i="13"/>
  <c r="AM80" i="13"/>
  <c r="AM76" i="13"/>
  <c r="AM70" i="13"/>
  <c r="AM71" i="13"/>
  <c r="AM77" i="13"/>
  <c r="AM78" i="13"/>
  <c r="AM79" i="13"/>
  <c r="AM73" i="13"/>
  <c r="BB103" i="13"/>
  <c r="BB94" i="13"/>
  <c r="BB100" i="13"/>
  <c r="BB99" i="13"/>
  <c r="BB104" i="13"/>
  <c r="BB96" i="13"/>
  <c r="BB97" i="13"/>
  <c r="BB101" i="13"/>
  <c r="BB105" i="13"/>
  <c r="BB102" i="13"/>
  <c r="BB95" i="13"/>
  <c r="BB98" i="13"/>
  <c r="AY93" i="13"/>
  <c r="AY89" i="13"/>
  <c r="AY86" i="13"/>
  <c r="AY91" i="13"/>
  <c r="AY88" i="13"/>
  <c r="AY90" i="13"/>
  <c r="AY82" i="13"/>
  <c r="AY92" i="13"/>
  <c r="AY84" i="13"/>
  <c r="AY83" i="13"/>
  <c r="AY87" i="13"/>
  <c r="AY85" i="13"/>
  <c r="AI9" i="13"/>
  <c r="AC123" i="13"/>
  <c r="M149" i="13" l="1"/>
  <c r="M158" i="13"/>
  <c r="AO158" i="13" s="1"/>
  <c r="AC154" i="13"/>
  <c r="AH130" i="13"/>
  <c r="AH131" i="13"/>
  <c r="AH132" i="13" s="1"/>
  <c r="AH133" i="13" s="1"/>
  <c r="AH134" i="13" s="1"/>
  <c r="AH135" i="13" s="1"/>
  <c r="AH136" i="13" s="1"/>
  <c r="AY100" i="13"/>
  <c r="AY102" i="13"/>
  <c r="AY103" i="13"/>
  <c r="AY101" i="13"/>
  <c r="AY104" i="13"/>
  <c r="AY99" i="13"/>
  <c r="AY97" i="13"/>
  <c r="AY98" i="13"/>
  <c r="AY105" i="13"/>
  <c r="AY94" i="13"/>
  <c r="AY95" i="13"/>
  <c r="AY96" i="13"/>
  <c r="BB117" i="13"/>
  <c r="BB129" i="13" s="1"/>
  <c r="BB112" i="13"/>
  <c r="BB108" i="13"/>
  <c r="BB116" i="13"/>
  <c r="BB107" i="13"/>
  <c r="BB110" i="13"/>
  <c r="BB111" i="13"/>
  <c r="BB115" i="13"/>
  <c r="BB109" i="13"/>
  <c r="BB106" i="13"/>
  <c r="BB113" i="13"/>
  <c r="BB114" i="13"/>
  <c r="AC124" i="13"/>
  <c r="AG91" i="1"/>
  <c r="AI10" i="13"/>
  <c r="M150" i="13" l="1"/>
  <c r="M159" i="13"/>
  <c r="AO159" i="13" s="1"/>
  <c r="AH138" i="13"/>
  <c r="AH139" i="13" s="1"/>
  <c r="AH140" i="13" s="1"/>
  <c r="AH141" i="13" s="1"/>
  <c r="AH142" i="13" s="1"/>
  <c r="AH143" i="13" s="1"/>
  <c r="AH144" i="13" s="1"/>
  <c r="AH145" i="13" s="1"/>
  <c r="AH146" i="13" s="1"/>
  <c r="AH147" i="13" s="1"/>
  <c r="AH148" i="13" s="1"/>
  <c r="AH149" i="13" s="1"/>
  <c r="AH150" i="13" s="1"/>
  <c r="AH151" i="13" s="1"/>
  <c r="AH152" i="13" s="1"/>
  <c r="AH153" i="13" s="1"/>
  <c r="AH154" i="13" s="1"/>
  <c r="AH155" i="13" s="1"/>
  <c r="AH156" i="13" s="1"/>
  <c r="AH157" i="13" s="1"/>
  <c r="AH158" i="13" s="1"/>
  <c r="AH159" i="13" s="1"/>
  <c r="AH160" i="13" s="1"/>
  <c r="AH161" i="13" s="1"/>
  <c r="AH137" i="13"/>
  <c r="BB118" i="13"/>
  <c r="BB119" i="13" s="1"/>
  <c r="BB120" i="13" s="1"/>
  <c r="BB121" i="13" s="1"/>
  <c r="BB122" i="13" s="1"/>
  <c r="BB123" i="13" s="1"/>
  <c r="BB124" i="13" s="1"/>
  <c r="BB125" i="13" s="1"/>
  <c r="BB126" i="13" s="1"/>
  <c r="BB127" i="13" s="1"/>
  <c r="BB128" i="13" s="1"/>
  <c r="BB130" i="13"/>
  <c r="BB131" i="13" s="1"/>
  <c r="AY109" i="13"/>
  <c r="AY115" i="13"/>
  <c r="AY110" i="13"/>
  <c r="AY111" i="13"/>
  <c r="AY114" i="13"/>
  <c r="AY106" i="13"/>
  <c r="AY107" i="13"/>
  <c r="AY116" i="13"/>
  <c r="AY108" i="13"/>
  <c r="AY112" i="13"/>
  <c r="AY117" i="13"/>
  <c r="AY113" i="13"/>
  <c r="AG92" i="1"/>
  <c r="AI11" i="13"/>
  <c r="AC125" i="13"/>
  <c r="M151" i="13" l="1"/>
  <c r="M160" i="13"/>
  <c r="AO160" i="13" s="1"/>
  <c r="AY129" i="13"/>
  <c r="AO129" i="13" s="1"/>
  <c r="AO130" i="13" s="1"/>
  <c r="BB132" i="13"/>
  <c r="BB133" i="13" s="1"/>
  <c r="BB134" i="13" s="1"/>
  <c r="BB135" i="13" s="1"/>
  <c r="BB136" i="13" s="1"/>
  <c r="BB137" i="13" s="1"/>
  <c r="BB138" i="13" s="1"/>
  <c r="BB139" i="13" s="1"/>
  <c r="BB140" i="13" s="1"/>
  <c r="BB141" i="13" s="1"/>
  <c r="BB142" i="13" s="1"/>
  <c r="BB144" i="13"/>
  <c r="AY118" i="13"/>
  <c r="AY119" i="13" s="1"/>
  <c r="AY120" i="13" s="1"/>
  <c r="AO120" i="13" s="1"/>
  <c r="AC126" i="13"/>
  <c r="AG93" i="1"/>
  <c r="AI12" i="13"/>
  <c r="M152" i="13" l="1"/>
  <c r="AY130" i="13"/>
  <c r="AY131" i="13" s="1"/>
  <c r="AO131" i="13" s="1"/>
  <c r="AO132" i="13" s="1"/>
  <c r="AO133" i="13" s="1"/>
  <c r="AO134" i="13" s="1"/>
  <c r="AO135" i="13" s="1"/>
  <c r="AO136" i="13" s="1"/>
  <c r="AO138" i="13" s="1"/>
  <c r="M161" i="13"/>
  <c r="AO161" i="13" s="1"/>
  <c r="BB145" i="13"/>
  <c r="BB146" i="13" s="1"/>
  <c r="BB147" i="13" s="1"/>
  <c r="BB148" i="13" s="1"/>
  <c r="BB149" i="13" s="1"/>
  <c r="BB150" i="13" s="1"/>
  <c r="BB151" i="13" s="1"/>
  <c r="BB152" i="13" s="1"/>
  <c r="BB153" i="13" s="1"/>
  <c r="BB154" i="13" s="1"/>
  <c r="AY144" i="13"/>
  <c r="AY145" i="13" s="1"/>
  <c r="AY146" i="13" s="1"/>
  <c r="AY147" i="13" s="1"/>
  <c r="AY148" i="13" s="1"/>
  <c r="AO148" i="13" s="1"/>
  <c r="AO144" i="13"/>
  <c r="AO145" i="13" s="1"/>
  <c r="AO146" i="13" s="1"/>
  <c r="AO147" i="13" s="1"/>
  <c r="AY132" i="13"/>
  <c r="AY133" i="13" s="1"/>
  <c r="AY134" i="13" s="1"/>
  <c r="AY135" i="13" s="1"/>
  <c r="AY136" i="13" s="1"/>
  <c r="AY121" i="13"/>
  <c r="AI13" i="13"/>
  <c r="AG94" i="1"/>
  <c r="AC127" i="13"/>
  <c r="M153" i="13" l="1"/>
  <c r="AY149" i="13"/>
  <c r="AO149" i="13" s="1"/>
  <c r="AO137" i="13"/>
  <c r="AO139" i="13" s="1"/>
  <c r="AO140" i="13" s="1"/>
  <c r="AO141" i="13" s="1"/>
  <c r="AO142" i="13" s="1"/>
  <c r="AY137" i="13"/>
  <c r="AY138" i="13" s="1"/>
  <c r="AY139" i="13" s="1"/>
  <c r="AY140" i="13" s="1"/>
  <c r="AY141" i="13" s="1"/>
  <c r="AY142" i="13" s="1"/>
  <c r="AY122" i="13"/>
  <c r="AO121" i="13"/>
  <c r="AG95" i="1"/>
  <c r="AI14" i="13"/>
  <c r="AC128" i="13"/>
  <c r="M154" i="13" l="1"/>
  <c r="AY150" i="13"/>
  <c r="AO150" i="13" s="1"/>
  <c r="AY123" i="13"/>
  <c r="AO122" i="13"/>
  <c r="AG96" i="1"/>
  <c r="AI15" i="13"/>
  <c r="AY151" i="13" l="1"/>
  <c r="AO151" i="13" s="1"/>
  <c r="AY124" i="13"/>
  <c r="AO123" i="13"/>
  <c r="AG97" i="1"/>
  <c r="AI16" i="13"/>
  <c r="AY152" i="13" l="1"/>
  <c r="AO152" i="13" s="1"/>
  <c r="AY125" i="13"/>
  <c r="AO124" i="13"/>
  <c r="AI17" i="13"/>
  <c r="AG98" i="1"/>
  <c r="AY153" i="13" l="1"/>
  <c r="AO153" i="13" s="1"/>
  <c r="AY126" i="13"/>
  <c r="AO125" i="13"/>
  <c r="AI18" i="13"/>
  <c r="AG99" i="1"/>
  <c r="AY154" i="13" l="1"/>
  <c r="AO154" i="13" s="1"/>
  <c r="AY127" i="13"/>
  <c r="AO126" i="13"/>
  <c r="AG100" i="1"/>
  <c r="AI19" i="13"/>
  <c r="AI20" i="13" s="1"/>
  <c r="AI21" i="13" s="1"/>
  <c r="AI22" i="13" s="1"/>
  <c r="AI23" i="13" s="1"/>
  <c r="AI24" i="13" s="1"/>
  <c r="AI25" i="13" s="1"/>
  <c r="AI26" i="13" s="1"/>
  <c r="AI27" i="13" s="1"/>
  <c r="AI28" i="13" s="1"/>
  <c r="AI29" i="13" s="1"/>
  <c r="AI30" i="13" s="1"/>
  <c r="AI31" i="13" s="1"/>
  <c r="AI32" i="13" s="1"/>
  <c r="AI33" i="13" s="1"/>
  <c r="AI34" i="13" s="1"/>
  <c r="AI35" i="13" s="1"/>
  <c r="AI36" i="13" s="1"/>
  <c r="AI37" i="13" s="1"/>
  <c r="AI38" i="13" s="1"/>
  <c r="AI39" i="13" s="1"/>
  <c r="AI40" i="13" s="1"/>
  <c r="AI41" i="13" s="1"/>
  <c r="AI42" i="13" s="1"/>
  <c r="AI43" i="13" s="1"/>
  <c r="AI44" i="13" s="1"/>
  <c r="AI45" i="13" s="1"/>
  <c r="AI46" i="13" s="1"/>
  <c r="AI47" i="13" s="1"/>
  <c r="AI48" i="13" s="1"/>
  <c r="AI49" i="13" s="1"/>
  <c r="AI50" i="13" s="1"/>
  <c r="AI51" i="13" s="1"/>
  <c r="AI52" i="13" s="1"/>
  <c r="AI53" i="13" s="1"/>
  <c r="AI54" i="13" s="1"/>
  <c r="AI55" i="13" s="1"/>
  <c r="AI56" i="13" s="1"/>
  <c r="AI57" i="13" s="1"/>
  <c r="AI58" i="13" s="1"/>
  <c r="AI59" i="13" s="1"/>
  <c r="AI60" i="13" s="1"/>
  <c r="AI61" i="13" s="1"/>
  <c r="AI62" i="13" s="1"/>
  <c r="AI63" i="13" s="1"/>
  <c r="AI64" i="13" s="1"/>
  <c r="AI65" i="13" s="1"/>
  <c r="AI66" i="13" s="1"/>
  <c r="AI67" i="13" s="1"/>
  <c r="AI68" i="13" s="1"/>
  <c r="AI69" i="13" s="1"/>
  <c r="AI70" i="13" s="1"/>
  <c r="AI71" i="13" s="1"/>
  <c r="AI72" i="13" s="1"/>
  <c r="AI73" i="13" s="1"/>
  <c r="AI74" i="13" s="1"/>
  <c r="AI75" i="13" s="1"/>
  <c r="AI76" i="13" s="1"/>
  <c r="AI77" i="13" s="1"/>
  <c r="AI78" i="13" s="1"/>
  <c r="AI79" i="13" s="1"/>
  <c r="AI80" i="13" s="1"/>
  <c r="AI81" i="13" s="1"/>
  <c r="AI82" i="13" s="1"/>
  <c r="AI83" i="13" s="1"/>
  <c r="AI84" i="13" s="1"/>
  <c r="AI85" i="13" s="1"/>
  <c r="AI86" i="13" s="1"/>
  <c r="AI87" i="13" s="1"/>
  <c r="AI88" i="13" s="1"/>
  <c r="AI89" i="13" s="1"/>
  <c r="AI90" i="13" s="1"/>
  <c r="AI91" i="13" s="1"/>
  <c r="AI92" i="13" s="1"/>
  <c r="AI93" i="13" s="1"/>
  <c r="AI94" i="13" s="1"/>
  <c r="AI95" i="13" s="1"/>
  <c r="AI96" i="13" s="1"/>
  <c r="AI97" i="13" s="1"/>
  <c r="AI98" i="13" s="1"/>
  <c r="AI99" i="13" s="1"/>
  <c r="AI100" i="13" s="1"/>
  <c r="AI101" i="13" s="1"/>
  <c r="AI102" i="13" s="1"/>
  <c r="AI103" i="13" s="1"/>
  <c r="AI104" i="13" s="1"/>
  <c r="AI105" i="13" s="1"/>
  <c r="AI106" i="13" s="1"/>
  <c r="AI107" i="13" s="1"/>
  <c r="AI108" i="13" s="1"/>
  <c r="AI109" i="13" s="1"/>
  <c r="AI110" i="13" s="1"/>
  <c r="AI111" i="13" s="1"/>
  <c r="AI112" i="13" s="1"/>
  <c r="AI113" i="13" s="1"/>
  <c r="AI114" i="13" s="1"/>
  <c r="AI115" i="13" s="1"/>
  <c r="AI116" i="13" s="1"/>
  <c r="AI117" i="13" s="1"/>
  <c r="AI118" i="13" s="1"/>
  <c r="AI119" i="13" s="1"/>
  <c r="AI120" i="13" s="1"/>
  <c r="AI121" i="13" s="1"/>
  <c r="AI122" i="13" s="1"/>
  <c r="AI123" i="13" s="1"/>
  <c r="AI124" i="13" s="1"/>
  <c r="AI125" i="13" s="1"/>
  <c r="AI126" i="13" s="1"/>
  <c r="AI127" i="13" s="1"/>
  <c r="AI128" i="13" l="1"/>
  <c r="AI129" i="13" s="1"/>
  <c r="AY128" i="13"/>
  <c r="AO128" i="13" s="1"/>
  <c r="AO127" i="13"/>
  <c r="AI131" i="13" l="1"/>
  <c r="AI132" i="13" s="1"/>
  <c r="AI133" i="13" s="1"/>
  <c r="AI134" i="13" s="1"/>
  <c r="AI135" i="13" s="1"/>
  <c r="AI136" i="13" s="1"/>
  <c r="AI137" i="13" s="1"/>
  <c r="AI130" i="13"/>
  <c r="AI138" i="13" l="1"/>
  <c r="AI139" i="13" s="1"/>
  <c r="AI140" i="13" s="1"/>
  <c r="AI141" i="13" s="1"/>
  <c r="AI142" i="13" s="1"/>
  <c r="AI143" i="13" s="1"/>
  <c r="AI144" i="13" s="1"/>
  <c r="AI145" i="13" s="1"/>
  <c r="AI146" i="13" s="1"/>
  <c r="AI147" i="13" s="1"/>
  <c r="AI148" i="13" s="1"/>
  <c r="AI149" i="13" s="1"/>
  <c r="AI150" i="13" s="1"/>
  <c r="AI151" i="13" s="1"/>
  <c r="AI152" i="13" s="1"/>
  <c r="AI153" i="13" s="1"/>
  <c r="AI154" i="13" s="1"/>
  <c r="AI155" i="13" l="1"/>
  <c r="AI156" i="13" s="1"/>
  <c r="AI157" i="13" s="1"/>
  <c r="AI158" i="13" s="1"/>
  <c r="AI159" i="13" s="1"/>
  <c r="AI160" i="13" s="1"/>
  <c r="AI16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Jhan Camilo Pulido Rodriguez</author>
  </authors>
  <commentList>
    <comment ref="I162" authorId="0" shapeId="0" xr:uid="{F7B354F0-01B7-4263-A583-E7135CCCDEF2}">
      <text>
        <r>
          <rPr>
            <b/>
            <sz val="9"/>
            <color indexed="81"/>
            <rFont val="Tahoma"/>
            <family val="2"/>
          </rPr>
          <t>Artículo 4 de la Resolución 5826/2019 subroga la sección 2 del Capítulo 3 del Título IV de la Res. 5050 de 2016.</t>
        </r>
      </text>
    </comment>
    <comment ref="M162" authorId="0" shapeId="0" xr:uid="{78A22367-1738-46DC-887E-571B0BCDEB8C}">
      <text>
        <r>
          <rPr>
            <b/>
            <sz val="9"/>
            <color indexed="81"/>
            <rFont val="Tahoma"/>
            <family val="2"/>
          </rPr>
          <t>Artículo 4 de la Resolución 5826/2019 subroga la sección 2 del Capítulo 3 del Título IV de la Res. 5050 de 2016.</t>
        </r>
      </text>
    </comment>
    <comment ref="P162" authorId="0" shapeId="0" xr:uid="{B21D5908-8978-4784-B04F-5D03AA2C267B}">
      <text>
        <r>
          <rPr>
            <b/>
            <sz val="9"/>
            <color indexed="81"/>
            <rFont val="Tahoma"/>
            <family val="2"/>
          </rPr>
          <t>Artículo 4 de la Resolución 5826/2019 subroga la sección 2 del Capítulo 3 del Título IV de la Res. 5050 de 2016.</t>
        </r>
      </text>
    </comment>
    <comment ref="T162" authorId="0" shapeId="0" xr:uid="{DE74C6DF-5FEE-4CB2-B0D7-E3AC1ACC0F53}">
      <text>
        <r>
          <rPr>
            <b/>
            <sz val="9"/>
            <color indexed="81"/>
            <rFont val="Tahoma"/>
            <family val="2"/>
          </rPr>
          <t>Artículo 4 de la Resolución 5826/2019 subroga la sección 2 del Capítulo 3 del Título IV de la Res. 5050 de 2016.</t>
        </r>
      </text>
    </comment>
    <comment ref="W162" authorId="0" shapeId="0" xr:uid="{D50B96D4-9378-4579-A990-EC0A3B8C7988}">
      <text>
        <r>
          <rPr>
            <b/>
            <sz val="9"/>
            <color indexed="81"/>
            <rFont val="Tahoma"/>
            <family val="2"/>
          </rPr>
          <t>Artículo 4 de la Resolución 5826/2019 subroga la sección 2 del Capítulo 3 del Título IV de la Res. 5050 de 2016.</t>
        </r>
      </text>
    </comment>
    <comment ref="Z162" authorId="0" shapeId="0" xr:uid="{C3589F7D-40F7-44FB-91C7-3BF0E5CF0B31}">
      <text>
        <r>
          <rPr>
            <b/>
            <sz val="9"/>
            <color indexed="81"/>
            <rFont val="Tahoma"/>
            <family val="2"/>
          </rPr>
          <t>Artículo 4 de la Resolución 5826/2019 subroga la sección 2 del Capítulo 3 del Título IV de la Res. 5050 de 2016.</t>
        </r>
      </text>
    </comment>
    <comment ref="AI162" authorId="0" shapeId="0" xr:uid="{EE52E60B-5723-4F85-BB8D-4F13BE755695}">
      <text>
        <r>
          <rPr>
            <b/>
            <sz val="9"/>
            <color indexed="81"/>
            <rFont val="Tahoma"/>
            <family val="2"/>
          </rPr>
          <t>Artículo 4 de la Resolución 5826/2019 subroga la sección 2 del Capítulo 3 del Título IV de la Res. 5050 de 2016.</t>
        </r>
      </text>
    </comment>
    <comment ref="AL162" authorId="0" shapeId="0" xr:uid="{9EFC61A5-1E83-4C53-B265-8385AED3E192}">
      <text>
        <r>
          <rPr>
            <b/>
            <sz val="9"/>
            <color indexed="81"/>
            <rFont val="Tahoma"/>
            <family val="2"/>
          </rPr>
          <t>Artículo 4 de la Resolución 5826/2019 subroga la sección 2 del Capítulo 3 del Título IV de la Res. 5050 de 2016.</t>
        </r>
      </text>
    </comment>
    <comment ref="AM162" authorId="0" shapeId="0" xr:uid="{B5BDC9AC-4058-4D72-A9F5-1DC0359EE418}">
      <text>
        <r>
          <rPr>
            <b/>
            <sz val="9"/>
            <color indexed="81"/>
            <rFont val="Tahoma"/>
            <family val="2"/>
          </rPr>
          <t>Artículo 4 de la Resolución 5826/2019 subroga la sección 2 del Capítulo 3 del Título IV de la Res. 5050 de 2016.</t>
        </r>
      </text>
    </comment>
    <comment ref="AO162" authorId="0" shapeId="0" xr:uid="{75816FAE-924B-4F59-A34B-166D545C05CF}">
      <text>
        <r>
          <rPr>
            <b/>
            <sz val="9"/>
            <color indexed="81"/>
            <rFont val="Tahoma"/>
            <family val="2"/>
          </rPr>
          <t>Como resultado de la entrada en vigencia de la Resolución 5826/2019, la fórmula de cálculo de este valor reporta un nuevo cargo de acceso a partir de 01 de agosto de 2019.</t>
        </r>
      </text>
    </comment>
  </commentList>
</comments>
</file>

<file path=xl/sharedStrings.xml><?xml version="1.0" encoding="utf-8"?>
<sst xmlns="http://schemas.openxmlformats.org/spreadsheetml/2006/main" count="135" uniqueCount="70">
  <si>
    <t>Año</t>
  </si>
  <si>
    <t>Mes</t>
  </si>
  <si>
    <t>IAT</t>
  </si>
  <si>
    <t>IAT promedio aritmético últimos 12 meses</t>
  </si>
  <si>
    <t>Variación del promedio artimético últimos 12 meses</t>
  </si>
  <si>
    <t>Cargo de acceso uso en $ corrientes</t>
  </si>
  <si>
    <t>Cargos de acceso por uso en $ constantes</t>
  </si>
  <si>
    <t>CARGOS DE ACCESO MAXIMOS</t>
  </si>
  <si>
    <t>ANTES DE LA RESOLUCION 1763 DE 2007</t>
  </si>
  <si>
    <t>Cargos de acceso por capacidad en $ constantes</t>
  </si>
  <si>
    <t>Cargo de acceso capacidad en $ corrientes</t>
  </si>
  <si>
    <t>GRUPO1-Res.463/2001</t>
  </si>
  <si>
    <t>GRUPO2-Res.463/2001</t>
  </si>
  <si>
    <t>GRUPO3-Res.463/2001</t>
  </si>
  <si>
    <t>CARGOS DE ACCESO MAXIMOS PARA REDES DE TPBLC</t>
  </si>
  <si>
    <t>CARGOS DE ACCESO MAXIMOS PARA REDES MOVILES</t>
  </si>
  <si>
    <t xml:space="preserve">CARGOS DE ACCESO POR USO MAXIMOS </t>
  </si>
  <si>
    <t xml:space="preserve">CARGOS DE ACCESO POR CAPACIDAD MAXIMOS </t>
  </si>
  <si>
    <t>CARGOS DE ACCESO POR USO MAXIMOS</t>
  </si>
  <si>
    <t>Res.463/2001</t>
  </si>
  <si>
    <t>CARGO DE ACCESO PROGRAMA COMPARTEL</t>
  </si>
  <si>
    <t>DESPUES DE LA RESOLUCION 1763 DE 2007</t>
  </si>
  <si>
    <t>CARGOS DE ACCESO POR CAPACIDAD MAXIMOS</t>
  </si>
  <si>
    <t>INSTALACIÓN ESENCIAL DE FACTURACIÓN, DISTRIBUCIÓN Y RECAUDO</t>
  </si>
  <si>
    <t>INSTALACIÓN ESENCIAL DE FACTURACIÓN , DISTRIBUCIÓN Y RECAUDO Y SERVICIO DE GESTIÓN OPERATIVA DE RECLAMOS</t>
  </si>
  <si>
    <t>CARGOS DE ACCESO PARA TERMINACIÓN DE MENSAJES CORTOS DE TEXTO (SMS)</t>
  </si>
  <si>
    <t>Cargos de acceso en $ constantes</t>
  </si>
  <si>
    <t>Cargo de acceso en $ corrientes</t>
  </si>
  <si>
    <t>Valor en $ constantes</t>
  </si>
  <si>
    <t>Valor en $ corrientes</t>
  </si>
  <si>
    <t xml:space="preserve">Cargo de acceso local máximo </t>
  </si>
  <si>
    <t>Cargo por transporte rural</t>
  </si>
  <si>
    <t>Cargo de acceso local máximo</t>
  </si>
  <si>
    <t>Cargo por transporte para municipios con población inferior a 10.000 hab. y municipios con población superior a 10.000 hab. y que no cuentan con conexión a una red de fibra óptica nacional</t>
  </si>
  <si>
    <t>Cargo por transporte para municipios con población superior a 10.000 hab. y que cuentan con conexión a una red de fibra óptica nacional
(Anexo 03 Res. 1763/07)</t>
  </si>
  <si>
    <t>VOZ
(Valor en $ corrientes por minuto)</t>
  </si>
  <si>
    <t>SMS
(Valor en $ corrientes por sms)</t>
  </si>
  <si>
    <t>DATOS
(Valor en $ corrientes por MByte)</t>
  </si>
  <si>
    <t>VALOR REGULADO INSTALACIÓN ESENCIAL ROAMING AUTOMÁTICO NACIONAL</t>
  </si>
  <si>
    <t>TARIFA FIJO - MÓVIL
(antes de impuestos)
Aplica para PRST móviles con titularidad de las llamadas fijo a móvil</t>
  </si>
  <si>
    <t>Del 01-feb-17 al 23-feb-2017</t>
  </si>
  <si>
    <t>Del 24-feb-17 al 28-feb-2017</t>
  </si>
  <si>
    <t>Desde el 24-feb-17</t>
  </si>
  <si>
    <t>Hasta el 23-feb-17</t>
  </si>
  <si>
    <t>VALOR REGULADO INSTALACIÓN ESENCIAL ROAMING AUTOMÁTICO NACIONAL ENTRANTES</t>
  </si>
  <si>
    <t>Res. 5107/2017</t>
  </si>
  <si>
    <t>Res. 4112/2013 y 5107/2017</t>
  </si>
  <si>
    <t>Res.1763/2007 y 5108/2017</t>
  </si>
  <si>
    <t>Res. 3500/2011 Y 5108/2017</t>
  </si>
  <si>
    <t>Hasta el 29/08/2017</t>
  </si>
  <si>
    <t>Desde el 30/08/2017</t>
  </si>
  <si>
    <t>Res. 3096/2011 Y 5198/2017</t>
  </si>
  <si>
    <t>Res.4900/2016 5322/2018 y 5826/2019</t>
  </si>
  <si>
    <t>GRUPO1-Res.1763/2007 y 5826/2019</t>
  </si>
  <si>
    <t>GRUPO2-Res.1763/2007 y 5826/2019</t>
  </si>
  <si>
    <t>Res. 3534/2012 y 5826/2019</t>
  </si>
  <si>
    <t>Res.5826/2019</t>
  </si>
  <si>
    <t>Res.1763/2007 y 5826/2019</t>
  </si>
  <si>
    <t>VALOR REGULADO INSTALACIÓN ESENCIAL ROAMING AUTOMÁTICO NACIONAL PARA EL TRÁFICO DE VOZ Y SMS TERMINADO EN LA RED DEL PROVEEDOR DE RED VISITADA</t>
  </si>
  <si>
    <t>Res. 5827/2019</t>
  </si>
  <si>
    <t>VALOR DE REMUNERACIÓN POR EL ACCESO A LAS REDES MÓVILES PARA LA PROVISIÓN DE SERVICIOS BAJO LA FIGURA DE OPERACIÓN MÓVIL VIRTUAL PARA TERMINACIÓN DE MENSAJES CORTOS DE TEXTO (SMS)</t>
  </si>
  <si>
    <t>Res. 5108/2017</t>
  </si>
  <si>
    <t>ROAMING AUTOMÁTICO NACIONAL</t>
  </si>
  <si>
    <t>FACTURACIÓN, DISTRIBUCIÓN Y RECAUDO</t>
  </si>
  <si>
    <t>MENSAJES CORTOS DE TEXTO (SMS)</t>
  </si>
  <si>
    <t>CARGOS DE ACCESO MAXIMOS PARA REDES DE TPBCL (VOZ)</t>
  </si>
  <si>
    <t>CARGOS DE ACCESO MAXIMOS PARA REDES FIJAS (VOZ)</t>
  </si>
  <si>
    <t>CARGOS DE ACCESO MAXIMOS PARA REDES MOVILES (VOZ)</t>
  </si>
  <si>
    <t>CARGOS DE ACCESO A REDES DE TPBCLE (VOZ)</t>
  </si>
  <si>
    <t>FIJO-MÓVIL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</si>
</sst>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164" formatCode="_-* #,##0\ _$_-;\-* #,##0\ _$_-;_-* &quot;-&quot;\ _$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0.0000%"/>
    <numFmt numFmtId="168" formatCode="0.000"/>
    <numFmt numFmtId="169" formatCode="0.00000"/>
    <numFmt numFmtId="170" formatCode="0.0000"/>
    <numFmt numFmtId="171" formatCode="0.0%"/>
    <numFmt numFmtId="172" formatCode="_-* #,##0_-;\-* #,##0_-;_-* &quot;-&quot;??_-;_-@_-"/>
    <numFmt numFmtId="173" formatCode="[$$-240A]\ #,##0.00"/>
    <numFmt numFmtId="174" formatCode="[$$-240A]\ #,##0"/>
    <numFmt numFmtId="175" formatCode="_-&quot;$&quot;\ * #,##0.00_-;\-&quot;$&quot;\ * #,##0.00_-;_-&quot;$&quot;\ * &quot;-&quot;_-;_-@_-"/>
    <numFmt numFmtId="176" formatCode="[$$-240A]\ #,##0.000"/>
  </numFmts>
  <fonts count="13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Arial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7"/>
      <name val="Tahoma"/>
      <family val="2"/>
    </font>
    <font>
      <b/>
      <sz val="14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5617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BC5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</cellStyleXfs>
  <cellXfs count="434">
    <xf numFmtId="0" fontId="0" fillId="0" borderId="0" xfId="0"/>
    <xf numFmtId="0" fontId="2" fillId="2" borderId="0" xfId="0" applyFont="1" applyFill="1" applyAlignment="1">
      <alignment horizontal="center"/>
    </xf>
    <xf numFmtId="167" fontId="2" fillId="2" borderId="0" xfId="4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10" fontId="2" fillId="2" borderId="0" xfId="4" applyNumberFormat="1" applyFont="1" applyFill="1"/>
    <xf numFmtId="10" fontId="2" fillId="2" borderId="0" xfId="4" applyNumberFormat="1" applyFont="1" applyFill="1" applyBorder="1"/>
    <xf numFmtId="169" fontId="2" fillId="2" borderId="0" xfId="0" applyNumberFormat="1" applyFont="1" applyFill="1"/>
    <xf numFmtId="2" fontId="2" fillId="2" borderId="0" xfId="0" applyNumberFormat="1" applyFont="1" applyFill="1" applyBorder="1"/>
    <xf numFmtId="170" fontId="2" fillId="2" borderId="0" xfId="0" applyNumberFormat="1" applyFont="1" applyFill="1" applyBorder="1"/>
    <xf numFmtId="2" fontId="3" fillId="2" borderId="0" xfId="0" applyNumberFormat="1" applyFont="1" applyFill="1" applyBorder="1"/>
    <xf numFmtId="2" fontId="2" fillId="2" borderId="0" xfId="0" applyNumberFormat="1" applyFont="1" applyFill="1"/>
    <xf numFmtId="171" fontId="2" fillId="2" borderId="0" xfId="4" applyNumberFormat="1" applyFont="1" applyFill="1"/>
    <xf numFmtId="164" fontId="2" fillId="2" borderId="0" xfId="2" applyFont="1" applyFill="1"/>
    <xf numFmtId="167" fontId="2" fillId="2" borderId="0" xfId="4" applyNumberFormat="1" applyFont="1" applyFill="1"/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7" fontId="3" fillId="3" borderId="2" xfId="4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/>
    </xf>
    <xf numFmtId="1" fontId="3" fillId="2" borderId="0" xfId="0" applyNumberFormat="1" applyFont="1" applyFill="1"/>
    <xf numFmtId="0" fontId="2" fillId="4" borderId="4" xfId="0" applyFont="1" applyFill="1" applyBorder="1"/>
    <xf numFmtId="167" fontId="2" fillId="4" borderId="4" xfId="4" applyNumberFormat="1" applyFont="1" applyFill="1" applyBorder="1"/>
    <xf numFmtId="0" fontId="2" fillId="4" borderId="5" xfId="0" applyFont="1" applyFill="1" applyBorder="1"/>
    <xf numFmtId="2" fontId="2" fillId="4" borderId="6" xfId="0" applyNumberFormat="1" applyFont="1" applyFill="1" applyBorder="1"/>
    <xf numFmtId="168" fontId="2" fillId="4" borderId="6" xfId="0" applyNumberFormat="1" applyFont="1" applyFill="1" applyBorder="1"/>
    <xf numFmtId="167" fontId="2" fillId="4" borderId="6" xfId="4" applyNumberFormat="1" applyFont="1" applyFill="1" applyBorder="1"/>
    <xf numFmtId="0" fontId="2" fillId="4" borderId="7" xfId="0" applyFont="1" applyFill="1" applyBorder="1"/>
    <xf numFmtId="2" fontId="2" fillId="4" borderId="8" xfId="0" applyNumberFormat="1" applyFont="1" applyFill="1" applyBorder="1"/>
    <xf numFmtId="168" fontId="2" fillId="4" borderId="8" xfId="0" applyNumberFormat="1" applyFont="1" applyFill="1" applyBorder="1"/>
    <xf numFmtId="167" fontId="2" fillId="4" borderId="8" xfId="4" applyNumberFormat="1" applyFont="1" applyFill="1" applyBorder="1"/>
    <xf numFmtId="0" fontId="2" fillId="4" borderId="9" xfId="0" applyFont="1" applyFill="1" applyBorder="1"/>
    <xf numFmtId="2" fontId="2" fillId="4" borderId="10" xfId="0" applyNumberFormat="1" applyFont="1" applyFill="1" applyBorder="1"/>
    <xf numFmtId="168" fontId="2" fillId="4" borderId="10" xfId="0" applyNumberFormat="1" applyFont="1" applyFill="1" applyBorder="1"/>
    <xf numFmtId="167" fontId="2" fillId="4" borderId="10" xfId="4" applyNumberFormat="1" applyFont="1" applyFill="1" applyBorder="1"/>
    <xf numFmtId="0" fontId="2" fillId="4" borderId="11" xfId="0" applyFont="1" applyFill="1" applyBorder="1"/>
    <xf numFmtId="168" fontId="2" fillId="4" borderId="12" xfId="0" applyNumberFormat="1" applyFont="1" applyFill="1" applyBorder="1"/>
    <xf numFmtId="167" fontId="2" fillId="4" borderId="12" xfId="4" applyNumberFormat="1" applyFont="1" applyFill="1" applyBorder="1"/>
    <xf numFmtId="0" fontId="2" fillId="4" borderId="13" xfId="0" applyFont="1" applyFill="1" applyBorder="1"/>
    <xf numFmtId="168" fontId="3" fillId="4" borderId="4" xfId="0" applyNumberFormat="1" applyFont="1" applyFill="1" applyBorder="1"/>
    <xf numFmtId="173" fontId="3" fillId="4" borderId="5" xfId="3" applyNumberFormat="1" applyFont="1" applyFill="1" applyBorder="1"/>
    <xf numFmtId="173" fontId="2" fillId="4" borderId="7" xfId="3" applyNumberFormat="1" applyFont="1" applyFill="1" applyBorder="1"/>
    <xf numFmtId="173" fontId="2" fillId="4" borderId="9" xfId="3" applyNumberFormat="1" applyFont="1" applyFill="1" applyBorder="1"/>
    <xf numFmtId="168" fontId="3" fillId="4" borderId="10" xfId="0" applyNumberFormat="1" applyFont="1" applyFill="1" applyBorder="1"/>
    <xf numFmtId="173" fontId="3" fillId="4" borderId="11" xfId="3" applyNumberFormat="1" applyFont="1" applyFill="1" applyBorder="1"/>
    <xf numFmtId="173" fontId="2" fillId="4" borderId="13" xfId="3" applyNumberFormat="1" applyFont="1" applyFill="1" applyBorder="1"/>
    <xf numFmtId="168" fontId="2" fillId="4" borderId="4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4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169" fontId="2" fillId="4" borderId="15" xfId="0" applyNumberFormat="1" applyFont="1" applyFill="1" applyBorder="1"/>
    <xf numFmtId="0" fontId="2" fillId="4" borderId="18" xfId="0" applyFont="1" applyFill="1" applyBorder="1"/>
    <xf numFmtId="172" fontId="2" fillId="4" borderId="14" xfId="1" applyNumberFormat="1" applyFont="1" applyFill="1" applyBorder="1"/>
    <xf numFmtId="172" fontId="2" fillId="4" borderId="15" xfId="1" applyNumberFormat="1" applyFont="1" applyFill="1" applyBorder="1"/>
    <xf numFmtId="172" fontId="2" fillId="4" borderId="16" xfId="1" applyNumberFormat="1" applyFont="1" applyFill="1" applyBorder="1"/>
    <xf numFmtId="174" fontId="3" fillId="4" borderId="5" xfId="3" applyNumberFormat="1" applyFont="1" applyFill="1" applyBorder="1"/>
    <xf numFmtId="174" fontId="2" fillId="4" borderId="15" xfId="0" applyNumberFormat="1" applyFont="1" applyFill="1" applyBorder="1"/>
    <xf numFmtId="174" fontId="2" fillId="4" borderId="16" xfId="0" applyNumberFormat="1" applyFont="1" applyFill="1" applyBorder="1"/>
    <xf numFmtId="174" fontId="2" fillId="4" borderId="18" xfId="0" applyNumberFormat="1" applyFont="1" applyFill="1" applyBorder="1"/>
    <xf numFmtId="174" fontId="2" fillId="4" borderId="7" xfId="3" applyNumberFormat="1" applyFont="1" applyFill="1" applyBorder="1"/>
    <xf numFmtId="174" fontId="2" fillId="4" borderId="9" xfId="3" applyNumberFormat="1" applyFont="1" applyFill="1" applyBorder="1"/>
    <xf numFmtId="174" fontId="3" fillId="4" borderId="11" xfId="3" applyNumberFormat="1" applyFont="1" applyFill="1" applyBorder="1"/>
    <xf numFmtId="174" fontId="2" fillId="4" borderId="13" xfId="3" applyNumberFormat="1" applyFont="1" applyFill="1" applyBorder="1"/>
    <xf numFmtId="174" fontId="2" fillId="4" borderId="14" xfId="1" applyNumberFormat="1" applyFont="1" applyFill="1" applyBorder="1"/>
    <xf numFmtId="174" fontId="2" fillId="4" borderId="15" xfId="1" applyNumberFormat="1" applyFont="1" applyFill="1" applyBorder="1"/>
    <xf numFmtId="174" fontId="2" fillId="4" borderId="16" xfId="1" applyNumberFormat="1" applyFont="1" applyFill="1" applyBorder="1"/>
    <xf numFmtId="17" fontId="2" fillId="4" borderId="6" xfId="0" applyNumberFormat="1" applyFont="1" applyFill="1" applyBorder="1"/>
    <xf numFmtId="17" fontId="2" fillId="4" borderId="10" xfId="0" applyNumberFormat="1" applyFont="1" applyFill="1" applyBorder="1"/>
    <xf numFmtId="17" fontId="2" fillId="4" borderId="8" xfId="0" applyNumberFormat="1" applyFont="1" applyFill="1" applyBorder="1"/>
    <xf numFmtId="0" fontId="3" fillId="3" borderId="19" xfId="0" applyFont="1" applyFill="1" applyBorder="1" applyAlignment="1">
      <alignment horizontal="center" vertical="center" wrapText="1"/>
    </xf>
    <xf numFmtId="174" fontId="2" fillId="4" borderId="14" xfId="0" applyNumberFormat="1" applyFont="1" applyFill="1" applyBorder="1"/>
    <xf numFmtId="17" fontId="2" fillId="4" borderId="4" xfId="0" applyNumberFormat="1" applyFont="1" applyFill="1" applyBorder="1"/>
    <xf numFmtId="2" fontId="2" fillId="4" borderId="4" xfId="0" applyNumberFormat="1" applyFont="1" applyFill="1" applyBorder="1"/>
    <xf numFmtId="167" fontId="2" fillId="4" borderId="5" xfId="4" applyNumberFormat="1" applyFont="1" applyFill="1" applyBorder="1"/>
    <xf numFmtId="167" fontId="2" fillId="4" borderId="7" xfId="4" applyNumberFormat="1" applyFont="1" applyFill="1" applyBorder="1"/>
    <xf numFmtId="167" fontId="2" fillId="4" borderId="9" xfId="4" applyNumberFormat="1" applyFont="1" applyFill="1" applyBorder="1"/>
    <xf numFmtId="0" fontId="2" fillId="4" borderId="14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173" fontId="3" fillId="4" borderId="20" xfId="3" applyNumberFormat="1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23" xfId="0" applyFont="1" applyFill="1" applyBorder="1"/>
    <xf numFmtId="172" fontId="2" fillId="4" borderId="20" xfId="1" applyNumberFormat="1" applyFont="1" applyFill="1" applyBorder="1"/>
    <xf numFmtId="172" fontId="2" fillId="4" borderId="21" xfId="1" applyNumberFormat="1" applyFont="1" applyFill="1" applyBorder="1"/>
    <xf numFmtId="172" fontId="2" fillId="4" borderId="22" xfId="1" applyNumberFormat="1" applyFont="1" applyFill="1" applyBorder="1"/>
    <xf numFmtId="0" fontId="2" fillId="4" borderId="20" xfId="0" applyFont="1" applyFill="1" applyBorder="1"/>
    <xf numFmtId="174" fontId="3" fillId="4" borderId="20" xfId="3" applyNumberFormat="1" applyFont="1" applyFill="1" applyBorder="1"/>
    <xf numFmtId="174" fontId="2" fillId="4" borderId="21" xfId="0" applyNumberFormat="1" applyFont="1" applyFill="1" applyBorder="1"/>
    <xf numFmtId="174" fontId="2" fillId="4" borderId="22" xfId="0" applyNumberFormat="1" applyFont="1" applyFill="1" applyBorder="1"/>
    <xf numFmtId="174" fontId="2" fillId="4" borderId="23" xfId="0" applyNumberFormat="1" applyFont="1" applyFill="1" applyBorder="1"/>
    <xf numFmtId="174" fontId="2" fillId="4" borderId="20" xfId="1" applyNumberFormat="1" applyFont="1" applyFill="1" applyBorder="1"/>
    <xf numFmtId="174" fontId="2" fillId="4" borderId="21" xfId="1" applyNumberFormat="1" applyFont="1" applyFill="1" applyBorder="1"/>
    <xf numFmtId="173" fontId="3" fillId="4" borderId="24" xfId="3" applyNumberFormat="1" applyFont="1" applyFill="1" applyBorder="1"/>
    <xf numFmtId="1" fontId="5" fillId="2" borderId="0" xfId="0" applyNumberFormat="1" applyFont="1" applyFill="1"/>
    <xf numFmtId="15" fontId="2" fillId="2" borderId="0" xfId="0" applyNumberFormat="1" applyFont="1" applyFill="1"/>
    <xf numFmtId="0" fontId="3" fillId="2" borderId="0" xfId="0" applyFont="1" applyFill="1"/>
    <xf numFmtId="0" fontId="2" fillId="2" borderId="50" xfId="0" applyFont="1" applyFill="1" applyBorder="1"/>
    <xf numFmtId="0" fontId="2" fillId="2" borderId="52" xfId="0" applyFont="1" applyFill="1" applyBorder="1"/>
    <xf numFmtId="0" fontId="3" fillId="2" borderId="52" xfId="0" applyFont="1" applyFill="1" applyBorder="1"/>
    <xf numFmtId="0" fontId="2" fillId="2" borderId="53" xfId="0" applyFont="1" applyFill="1" applyBorder="1"/>
    <xf numFmtId="1" fontId="6" fillId="2" borderId="0" xfId="0" applyNumberFormat="1" applyFont="1" applyFill="1"/>
    <xf numFmtId="0" fontId="7" fillId="2" borderId="0" xfId="0" applyFont="1" applyFill="1"/>
    <xf numFmtId="2" fontId="7" fillId="2" borderId="0" xfId="0" applyNumberFormat="1" applyFont="1" applyFill="1"/>
    <xf numFmtId="167" fontId="7" fillId="2" borderId="0" xfId="4" applyNumberFormat="1" applyFont="1" applyFill="1"/>
    <xf numFmtId="1" fontId="8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0" fontId="6" fillId="3" borderId="19" xfId="0" applyFont="1" applyFill="1" applyBorder="1" applyAlignment="1">
      <alignment horizontal="center" vertical="center" wrapText="1"/>
    </xf>
    <xf numFmtId="167" fontId="6" fillId="3" borderId="26" xfId="4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1" fontId="6" fillId="2" borderId="29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0" fontId="7" fillId="2" borderId="0" xfId="0" applyFont="1" applyFill="1" applyBorder="1"/>
    <xf numFmtId="0" fontId="7" fillId="9" borderId="16" xfId="0" applyFont="1" applyFill="1" applyBorder="1"/>
    <xf numFmtId="0" fontId="7" fillId="9" borderId="9" xfId="0" applyFont="1" applyFill="1" applyBorder="1"/>
    <xf numFmtId="0" fontId="7" fillId="9" borderId="14" xfId="0" applyFont="1" applyFill="1" applyBorder="1"/>
    <xf numFmtId="0" fontId="7" fillId="9" borderId="5" xfId="0" applyFont="1" applyFill="1" applyBorder="1"/>
    <xf numFmtId="0" fontId="7" fillId="9" borderId="15" xfId="0" applyFont="1" applyFill="1" applyBorder="1"/>
    <xf numFmtId="0" fontId="7" fillId="9" borderId="7" xfId="0" applyFont="1" applyFill="1" applyBorder="1"/>
    <xf numFmtId="174" fontId="6" fillId="9" borderId="16" xfId="3" applyNumberFormat="1" applyFont="1" applyFill="1" applyBorder="1"/>
    <xf numFmtId="174" fontId="7" fillId="9" borderId="9" xfId="0" applyNumberFormat="1" applyFont="1" applyFill="1" applyBorder="1"/>
    <xf numFmtId="174" fontId="7" fillId="9" borderId="14" xfId="0" applyNumberFormat="1" applyFont="1" applyFill="1" applyBorder="1"/>
    <xf numFmtId="174" fontId="7" fillId="9" borderId="5" xfId="0" applyNumberFormat="1" applyFont="1" applyFill="1" applyBorder="1"/>
    <xf numFmtId="174" fontId="7" fillId="9" borderId="15" xfId="0" applyNumberFormat="1" applyFont="1" applyFill="1" applyBorder="1"/>
    <xf numFmtId="174" fontId="7" fillId="9" borderId="7" xfId="0" applyNumberFormat="1" applyFont="1" applyFill="1" applyBorder="1"/>
    <xf numFmtId="174" fontId="7" fillId="9" borderId="16" xfId="0" applyNumberFormat="1" applyFont="1" applyFill="1" applyBorder="1"/>
    <xf numFmtId="174" fontId="6" fillId="9" borderId="11" xfId="3" applyNumberFormat="1" applyFont="1" applyFill="1" applyBorder="1"/>
    <xf numFmtId="173" fontId="7" fillId="9" borderId="7" xfId="0" applyNumberFormat="1" applyFont="1" applyFill="1" applyBorder="1"/>
    <xf numFmtId="174" fontId="6" fillId="9" borderId="18" xfId="0" applyNumberFormat="1" applyFont="1" applyFill="1" applyBorder="1"/>
    <xf numFmtId="173" fontId="7" fillId="9" borderId="13" xfId="0" applyNumberFormat="1" applyFont="1" applyFill="1" applyBorder="1"/>
    <xf numFmtId="174" fontId="6" fillId="9" borderId="5" xfId="3" applyNumberFormat="1" applyFont="1" applyFill="1" applyBorder="1"/>
    <xf numFmtId="173" fontId="7" fillId="9" borderId="9" xfId="0" applyNumberFormat="1" applyFont="1" applyFill="1" applyBorder="1"/>
    <xf numFmtId="173" fontId="6" fillId="9" borderId="5" xfId="3" applyNumberFormat="1" applyFont="1" applyFill="1" applyBorder="1"/>
    <xf numFmtId="173" fontId="6" fillId="9" borderId="16" xfId="0" applyNumberFormat="1" applyFont="1" applyFill="1" applyBorder="1"/>
    <xf numFmtId="173" fontId="6" fillId="9" borderId="18" xfId="0" applyNumberFormat="1" applyFont="1" applyFill="1" applyBorder="1"/>
    <xf numFmtId="0" fontId="7" fillId="14" borderId="16" xfId="0" applyFont="1" applyFill="1" applyBorder="1"/>
    <xf numFmtId="0" fontId="7" fillId="14" borderId="9" xfId="0" applyFont="1" applyFill="1" applyBorder="1"/>
    <xf numFmtId="0" fontId="7" fillId="14" borderId="14" xfId="0" applyFont="1" applyFill="1" applyBorder="1"/>
    <xf numFmtId="0" fontId="7" fillId="14" borderId="5" xfId="0" applyFont="1" applyFill="1" applyBorder="1"/>
    <xf numFmtId="0" fontId="7" fillId="14" borderId="15" xfId="0" applyFont="1" applyFill="1" applyBorder="1"/>
    <xf numFmtId="0" fontId="7" fillId="14" borderId="7" xfId="0" applyFont="1" applyFill="1" applyBorder="1"/>
    <xf numFmtId="173" fontId="6" fillId="14" borderId="16" xfId="3" applyNumberFormat="1" applyFont="1" applyFill="1" applyBorder="1"/>
    <xf numFmtId="173" fontId="7" fillId="14" borderId="9" xfId="0" applyNumberFormat="1" applyFont="1" applyFill="1" applyBorder="1"/>
    <xf numFmtId="173" fontId="7" fillId="14" borderId="5" xfId="0" applyNumberFormat="1" applyFont="1" applyFill="1" applyBorder="1"/>
    <xf numFmtId="173" fontId="7" fillId="14" borderId="7" xfId="0" applyNumberFormat="1" applyFont="1" applyFill="1" applyBorder="1"/>
    <xf numFmtId="173" fontId="6" fillId="14" borderId="11" xfId="3" applyNumberFormat="1" applyFont="1" applyFill="1" applyBorder="1"/>
    <xf numFmtId="173" fontId="6" fillId="14" borderId="18" xfId="0" applyNumberFormat="1" applyFont="1" applyFill="1" applyBorder="1"/>
    <xf numFmtId="173" fontId="7" fillId="14" borderId="13" xfId="0" applyNumberFormat="1" applyFont="1" applyFill="1" applyBorder="1"/>
    <xf numFmtId="173" fontId="6" fillId="14" borderId="5" xfId="3" applyNumberFormat="1" applyFont="1" applyFill="1" applyBorder="1"/>
    <xf numFmtId="173" fontId="6" fillId="14" borderId="16" xfId="0" applyNumberFormat="1" applyFont="1" applyFill="1" applyBorder="1"/>
    <xf numFmtId="167" fontId="7" fillId="14" borderId="15" xfId="4" applyNumberFormat="1" applyFont="1" applyFill="1" applyBorder="1"/>
    <xf numFmtId="0" fontId="7" fillId="14" borderId="17" xfId="0" applyFont="1" applyFill="1" applyBorder="1"/>
    <xf numFmtId="174" fontId="6" fillId="14" borderId="16" xfId="3" applyNumberFormat="1" applyFont="1" applyFill="1" applyBorder="1"/>
    <xf numFmtId="174" fontId="7" fillId="14" borderId="9" xfId="0" applyNumberFormat="1" applyFont="1" applyFill="1" applyBorder="1"/>
    <xf numFmtId="174" fontId="7" fillId="14" borderId="14" xfId="0" applyNumberFormat="1" applyFont="1" applyFill="1" applyBorder="1"/>
    <xf numFmtId="174" fontId="7" fillId="14" borderId="5" xfId="0" applyNumberFormat="1" applyFont="1" applyFill="1" applyBorder="1"/>
    <xf numFmtId="174" fontId="7" fillId="14" borderId="15" xfId="0" applyNumberFormat="1" applyFont="1" applyFill="1" applyBorder="1"/>
    <xf numFmtId="174" fontId="7" fillId="14" borderId="7" xfId="0" applyNumberFormat="1" applyFont="1" applyFill="1" applyBorder="1"/>
    <xf numFmtId="174" fontId="7" fillId="14" borderId="16" xfId="0" applyNumberFormat="1" applyFont="1" applyFill="1" applyBorder="1"/>
    <xf numFmtId="174" fontId="6" fillId="14" borderId="11" xfId="3" applyNumberFormat="1" applyFont="1" applyFill="1" applyBorder="1"/>
    <xf numFmtId="174" fontId="6" fillId="14" borderId="18" xfId="0" applyNumberFormat="1" applyFont="1" applyFill="1" applyBorder="1"/>
    <xf numFmtId="174" fontId="6" fillId="14" borderId="5" xfId="3" applyNumberFormat="1" applyFont="1" applyFill="1" applyBorder="1"/>
    <xf numFmtId="173" fontId="6" fillId="9" borderId="16" xfId="3" applyNumberFormat="1" applyFont="1" applyFill="1" applyBorder="1"/>
    <xf numFmtId="173" fontId="7" fillId="9" borderId="5" xfId="0" applyNumberFormat="1" applyFont="1" applyFill="1" applyBorder="1"/>
    <xf numFmtId="173" fontId="6" fillId="9" borderId="11" xfId="3" applyNumberFormat="1" applyFont="1" applyFill="1" applyBorder="1"/>
    <xf numFmtId="167" fontId="7" fillId="9" borderId="15" xfId="4" applyNumberFormat="1" applyFont="1" applyFill="1" applyBorder="1"/>
    <xf numFmtId="17" fontId="7" fillId="15" borderId="19" xfId="0" applyNumberFormat="1" applyFont="1" applyFill="1" applyBorder="1"/>
    <xf numFmtId="2" fontId="7" fillId="15" borderId="19" xfId="0" applyNumberFormat="1" applyFont="1" applyFill="1" applyBorder="1"/>
    <xf numFmtId="168" fontId="7" fillId="15" borderId="19" xfId="0" applyNumberFormat="1" applyFont="1" applyFill="1" applyBorder="1"/>
    <xf numFmtId="167" fontId="7" fillId="15" borderId="26" xfId="4" applyNumberFormat="1" applyFont="1" applyFill="1" applyBorder="1"/>
    <xf numFmtId="17" fontId="7" fillId="15" borderId="4" xfId="0" applyNumberFormat="1" applyFont="1" applyFill="1" applyBorder="1"/>
    <xf numFmtId="2" fontId="7" fillId="15" borderId="10" xfId="0" applyNumberFormat="1" applyFont="1" applyFill="1" applyBorder="1" applyAlignment="1"/>
    <xf numFmtId="168" fontId="7" fillId="15" borderId="10" xfId="0" applyNumberFormat="1" applyFont="1" applyFill="1" applyBorder="1"/>
    <xf numFmtId="167" fontId="7" fillId="15" borderId="11" xfId="4" applyNumberFormat="1" applyFont="1" applyFill="1" applyBorder="1"/>
    <xf numFmtId="17" fontId="7" fillId="15" borderId="6" xfId="0" applyNumberFormat="1" applyFont="1" applyFill="1" applyBorder="1"/>
    <xf numFmtId="2" fontId="7" fillId="15" borderId="6" xfId="0" applyNumberFormat="1" applyFont="1" applyFill="1" applyBorder="1"/>
    <xf numFmtId="168" fontId="7" fillId="15" borderId="6" xfId="0" applyNumberFormat="1" applyFont="1" applyFill="1" applyBorder="1"/>
    <xf numFmtId="167" fontId="7" fillId="15" borderId="7" xfId="4" applyNumberFormat="1" applyFont="1" applyFill="1" applyBorder="1"/>
    <xf numFmtId="17" fontId="7" fillId="15" borderId="8" xfId="0" applyNumberFormat="1" applyFont="1" applyFill="1" applyBorder="1"/>
    <xf numFmtId="2" fontId="7" fillId="15" borderId="25" xfId="0" applyNumberFormat="1" applyFont="1" applyFill="1" applyBorder="1"/>
    <xf numFmtId="168" fontId="7" fillId="15" borderId="25" xfId="0" applyNumberFormat="1" applyFont="1" applyFill="1" applyBorder="1"/>
    <xf numFmtId="167" fontId="7" fillId="15" borderId="28" xfId="4" applyNumberFormat="1" applyFont="1" applyFill="1" applyBorder="1"/>
    <xf numFmtId="2" fontId="7" fillId="15" borderId="4" xfId="0" applyNumberFormat="1" applyFont="1" applyFill="1" applyBorder="1"/>
    <xf numFmtId="168" fontId="7" fillId="15" borderId="4" xfId="0" applyNumberFormat="1" applyFont="1" applyFill="1" applyBorder="1"/>
    <xf numFmtId="167" fontId="7" fillId="15" borderId="5" xfId="4" applyNumberFormat="1" applyFont="1" applyFill="1" applyBorder="1"/>
    <xf numFmtId="2" fontId="7" fillId="15" borderId="8" xfId="0" applyNumberFormat="1" applyFont="1" applyFill="1" applyBorder="1"/>
    <xf numFmtId="168" fontId="7" fillId="15" borderId="8" xfId="0" applyNumberFormat="1" applyFont="1" applyFill="1" applyBorder="1"/>
    <xf numFmtId="167" fontId="7" fillId="15" borderId="9" xfId="4" applyNumberFormat="1" applyFont="1" applyFill="1" applyBorder="1"/>
    <xf numFmtId="168" fontId="7" fillId="15" borderId="12" xfId="0" applyNumberFormat="1" applyFont="1" applyFill="1" applyBorder="1"/>
    <xf numFmtId="167" fontId="7" fillId="15" borderId="13" xfId="4" applyNumberFormat="1" applyFont="1" applyFill="1" applyBorder="1"/>
    <xf numFmtId="167" fontId="7" fillId="15" borderId="3" xfId="4" applyNumberFormat="1" applyFont="1" applyFill="1" applyBorder="1"/>
    <xf numFmtId="17" fontId="7" fillId="15" borderId="12" xfId="0" applyNumberFormat="1" applyFont="1" applyFill="1" applyBorder="1"/>
    <xf numFmtId="2" fontId="7" fillId="15" borderId="12" xfId="0" applyNumberFormat="1" applyFont="1" applyFill="1" applyBorder="1"/>
    <xf numFmtId="2" fontId="7" fillId="15" borderId="2" xfId="0" applyNumberFormat="1" applyFont="1" applyFill="1" applyBorder="1"/>
    <xf numFmtId="168" fontId="7" fillId="15" borderId="2" xfId="0" applyNumberFormat="1" applyFont="1" applyFill="1" applyBorder="1"/>
    <xf numFmtId="173" fontId="6" fillId="14" borderId="15" xfId="0" applyNumberFormat="1" applyFont="1" applyFill="1" applyBorder="1"/>
    <xf numFmtId="173" fontId="6" fillId="14" borderId="7" xfId="0" applyNumberFormat="1" applyFont="1" applyFill="1" applyBorder="1"/>
    <xf numFmtId="173" fontId="7" fillId="14" borderId="18" xfId="0" applyNumberFormat="1" applyFont="1" applyFill="1" applyBorder="1"/>
    <xf numFmtId="173" fontId="7" fillId="14" borderId="15" xfId="0" applyNumberFormat="1" applyFont="1" applyFill="1" applyBorder="1"/>
    <xf numFmtId="173" fontId="7" fillId="14" borderId="36" xfId="0" applyNumberFormat="1" applyFont="1" applyFill="1" applyBorder="1"/>
    <xf numFmtId="173" fontId="7" fillId="14" borderId="46" xfId="0" applyNumberFormat="1" applyFont="1" applyFill="1" applyBorder="1"/>
    <xf numFmtId="173" fontId="6" fillId="14" borderId="14" xfId="0" applyNumberFormat="1" applyFont="1" applyFill="1" applyBorder="1"/>
    <xf numFmtId="173" fontId="6" fillId="14" borderId="42" xfId="0" applyNumberFormat="1" applyFont="1" applyFill="1" applyBorder="1"/>
    <xf numFmtId="173" fontId="7" fillId="14" borderId="24" xfId="0" applyNumberFormat="1" applyFont="1" applyFill="1" applyBorder="1"/>
    <xf numFmtId="173" fontId="7" fillId="14" borderId="49" xfId="0" applyNumberFormat="1" applyFont="1" applyFill="1" applyBorder="1"/>
    <xf numFmtId="173" fontId="6" fillId="14" borderId="20" xfId="0" applyNumberFormat="1" applyFont="1" applyFill="1" applyBorder="1"/>
    <xf numFmtId="173" fontId="7" fillId="14" borderId="21" xfId="0" applyNumberFormat="1" applyFont="1" applyFill="1" applyBorder="1"/>
    <xf numFmtId="173" fontId="7" fillId="14" borderId="23" xfId="0" applyNumberFormat="1" applyFont="1" applyFill="1" applyBorder="1"/>
    <xf numFmtId="173" fontId="7" fillId="14" borderId="48" xfId="0" applyNumberFormat="1" applyFont="1" applyFill="1" applyBorder="1"/>
    <xf numFmtId="173" fontId="7" fillId="14" borderId="35" xfId="0" applyNumberFormat="1" applyFont="1" applyFill="1" applyBorder="1"/>
    <xf numFmtId="173" fontId="7" fillId="9" borderId="14" xfId="0" applyNumberFormat="1" applyFont="1" applyFill="1" applyBorder="1"/>
    <xf numFmtId="174" fontId="6" fillId="9" borderId="34" xfId="3" applyNumberFormat="1" applyFont="1" applyFill="1" applyBorder="1"/>
    <xf numFmtId="173" fontId="6" fillId="9" borderId="15" xfId="0" applyNumberFormat="1" applyFont="1" applyFill="1" applyBorder="1"/>
    <xf numFmtId="173" fontId="6" fillId="9" borderId="37" xfId="0" applyNumberFormat="1" applyFont="1" applyFill="1" applyBorder="1"/>
    <xf numFmtId="173" fontId="7" fillId="9" borderId="18" xfId="0" applyNumberFormat="1" applyFont="1" applyFill="1" applyBorder="1"/>
    <xf numFmtId="173" fontId="7" fillId="9" borderId="15" xfId="0" applyNumberFormat="1" applyFont="1" applyFill="1" applyBorder="1"/>
    <xf numFmtId="173" fontId="7" fillId="9" borderId="36" xfId="0" applyNumberFormat="1" applyFont="1" applyFill="1" applyBorder="1"/>
    <xf numFmtId="173" fontId="7" fillId="9" borderId="46" xfId="0" applyNumberFormat="1" applyFont="1" applyFill="1" applyBorder="1"/>
    <xf numFmtId="173" fontId="6" fillId="9" borderId="20" xfId="0" applyNumberFormat="1" applyFont="1" applyFill="1" applyBorder="1"/>
    <xf numFmtId="173" fontId="6" fillId="9" borderId="42" xfId="0" applyNumberFormat="1" applyFont="1" applyFill="1" applyBorder="1"/>
    <xf numFmtId="173" fontId="7" fillId="9" borderId="21" xfId="0" applyNumberFormat="1" applyFont="1" applyFill="1" applyBorder="1"/>
    <xf numFmtId="173" fontId="7" fillId="9" borderId="24" xfId="0" applyNumberFormat="1" applyFont="1" applyFill="1" applyBorder="1"/>
    <xf numFmtId="173" fontId="7" fillId="9" borderId="23" xfId="0" applyNumberFormat="1" applyFont="1" applyFill="1" applyBorder="1"/>
    <xf numFmtId="173" fontId="7" fillId="9" borderId="48" xfId="0" applyNumberFormat="1" applyFont="1" applyFill="1" applyBorder="1"/>
    <xf numFmtId="173" fontId="7" fillId="9" borderId="35" xfId="0" applyNumberFormat="1" applyFont="1" applyFill="1" applyBorder="1"/>
    <xf numFmtId="0" fontId="7" fillId="14" borderId="27" xfId="0" applyFont="1" applyFill="1" applyBorder="1"/>
    <xf numFmtId="173" fontId="7" fillId="14" borderId="26" xfId="0" applyNumberFormat="1" applyFont="1" applyFill="1" applyBorder="1"/>
    <xf numFmtId="173" fontId="7" fillId="14" borderId="24" xfId="3" applyNumberFormat="1" applyFont="1" applyFill="1" applyBorder="1"/>
    <xf numFmtId="173" fontId="7" fillId="14" borderId="9" xfId="3" applyNumberFormat="1" applyFont="1" applyFill="1" applyBorder="1"/>
    <xf numFmtId="173" fontId="7" fillId="14" borderId="14" xfId="3" applyNumberFormat="1" applyFont="1" applyFill="1" applyBorder="1"/>
    <xf numFmtId="173" fontId="7" fillId="14" borderId="5" xfId="3" applyNumberFormat="1" applyFont="1" applyFill="1" applyBorder="1"/>
    <xf numFmtId="173" fontId="7" fillId="14" borderId="15" xfId="3" applyNumberFormat="1" applyFont="1" applyFill="1" applyBorder="1"/>
    <xf numFmtId="173" fontId="7" fillId="14" borderId="7" xfId="3" applyNumberFormat="1" applyFont="1" applyFill="1" applyBorder="1"/>
    <xf numFmtId="173" fontId="7" fillId="14" borderId="16" xfId="3" applyNumberFormat="1" applyFont="1" applyFill="1" applyBorder="1"/>
    <xf numFmtId="173" fontId="7" fillId="14" borderId="18" xfId="3" applyNumberFormat="1" applyFont="1" applyFill="1" applyBorder="1"/>
    <xf numFmtId="173" fontId="7" fillId="14" borderId="1" xfId="3" applyNumberFormat="1" applyFont="1" applyFill="1" applyBorder="1"/>
    <xf numFmtId="173" fontId="7" fillId="14" borderId="3" xfId="3" applyNumberFormat="1" applyFont="1" applyFill="1" applyBorder="1"/>
    <xf numFmtId="173" fontId="7" fillId="14" borderId="17" xfId="3" applyNumberFormat="1" applyFont="1" applyFill="1" applyBorder="1"/>
    <xf numFmtId="173" fontId="7" fillId="14" borderId="11" xfId="3" applyNumberFormat="1" applyFont="1" applyFill="1" applyBorder="1"/>
    <xf numFmtId="173" fontId="6" fillId="14" borderId="18" xfId="3" applyNumberFormat="1" applyFont="1" applyFill="1" applyBorder="1"/>
    <xf numFmtId="173" fontId="6" fillId="14" borderId="13" xfId="3" applyNumberFormat="1" applyFont="1" applyFill="1" applyBorder="1"/>
    <xf numFmtId="173" fontId="7" fillId="14" borderId="16" xfId="0" applyNumberFormat="1" applyFont="1" applyFill="1" applyBorder="1"/>
    <xf numFmtId="173" fontId="7" fillId="14" borderId="37" xfId="0" applyNumberFormat="1" applyFont="1" applyFill="1" applyBorder="1"/>
    <xf numFmtId="173" fontId="6" fillId="14" borderId="1" xfId="3" applyNumberFormat="1" applyFont="1" applyFill="1" applyBorder="1"/>
    <xf numFmtId="173" fontId="6" fillId="14" borderId="50" xfId="3" applyNumberFormat="1" applyFont="1" applyFill="1" applyBorder="1"/>
    <xf numFmtId="173" fontId="6" fillId="14" borderId="42" xfId="3" applyNumberFormat="1" applyFont="1" applyFill="1" applyBorder="1"/>
    <xf numFmtId="173" fontId="7" fillId="14" borderId="49" xfId="3" applyNumberFormat="1" applyFont="1" applyFill="1" applyBorder="1"/>
    <xf numFmtId="173" fontId="7" fillId="14" borderId="35" xfId="3" applyNumberFormat="1" applyFont="1" applyFill="1" applyBorder="1"/>
    <xf numFmtId="0" fontId="7" fillId="17" borderId="0" xfId="0" applyFont="1" applyFill="1"/>
    <xf numFmtId="0" fontId="7" fillId="17" borderId="33" xfId="0" applyFont="1" applyFill="1" applyBorder="1"/>
    <xf numFmtId="0" fontId="7" fillId="9" borderId="27" xfId="0" applyFont="1" applyFill="1" applyBorder="1"/>
    <xf numFmtId="173" fontId="7" fillId="9" borderId="40" xfId="0" applyNumberFormat="1" applyFont="1" applyFill="1" applyBorder="1"/>
    <xf numFmtId="173" fontId="7" fillId="9" borderId="31" xfId="0" applyNumberFormat="1" applyFont="1" applyFill="1" applyBorder="1"/>
    <xf numFmtId="173" fontId="7" fillId="9" borderId="30" xfId="0" applyNumberFormat="1" applyFont="1" applyFill="1" applyBorder="1"/>
    <xf numFmtId="173" fontId="7" fillId="9" borderId="21" xfId="3" applyNumberFormat="1" applyFont="1" applyFill="1" applyBorder="1"/>
    <xf numFmtId="173" fontId="7" fillId="9" borderId="32" xfId="3" applyNumberFormat="1" applyFont="1" applyFill="1" applyBorder="1"/>
    <xf numFmtId="173" fontId="7" fillId="9" borderId="9" xfId="3" applyNumberFormat="1" applyFont="1" applyFill="1" applyBorder="1"/>
    <xf numFmtId="173" fontId="7" fillId="9" borderId="14" xfId="3" applyNumberFormat="1" applyFont="1" applyFill="1" applyBorder="1"/>
    <xf numFmtId="173" fontId="7" fillId="9" borderId="31" xfId="3" applyNumberFormat="1" applyFont="1" applyFill="1" applyBorder="1"/>
    <xf numFmtId="173" fontId="7" fillId="9" borderId="11" xfId="3" applyNumberFormat="1" applyFont="1" applyFill="1" applyBorder="1"/>
    <xf numFmtId="173" fontId="7" fillId="9" borderId="15" xfId="3" applyNumberFormat="1" applyFont="1" applyFill="1" applyBorder="1"/>
    <xf numFmtId="173" fontId="7" fillId="9" borderId="30" xfId="3" applyNumberFormat="1" applyFont="1" applyFill="1" applyBorder="1"/>
    <xf numFmtId="173" fontId="7" fillId="9" borderId="7" xfId="3" applyNumberFormat="1" applyFont="1" applyFill="1" applyBorder="1"/>
    <xf numFmtId="173" fontId="7" fillId="9" borderId="18" xfId="3" applyNumberFormat="1" applyFont="1" applyFill="1" applyBorder="1"/>
    <xf numFmtId="173" fontId="7" fillId="9" borderId="38" xfId="3" applyNumberFormat="1" applyFont="1" applyFill="1" applyBorder="1"/>
    <xf numFmtId="173" fontId="7" fillId="9" borderId="39" xfId="3" applyNumberFormat="1" applyFont="1" applyFill="1" applyBorder="1"/>
    <xf numFmtId="173" fontId="6" fillId="9" borderId="14" xfId="3" applyNumberFormat="1" applyFont="1" applyFill="1" applyBorder="1"/>
    <xf numFmtId="173" fontId="7" fillId="9" borderId="16" xfId="3" applyNumberFormat="1" applyFont="1" applyFill="1" applyBorder="1"/>
    <xf numFmtId="173" fontId="7" fillId="9" borderId="13" xfId="3" applyNumberFormat="1" applyFont="1" applyFill="1" applyBorder="1"/>
    <xf numFmtId="173" fontId="6" fillId="9" borderId="31" xfId="3" applyNumberFormat="1" applyFont="1" applyFill="1" applyBorder="1"/>
    <xf numFmtId="173" fontId="7" fillId="9" borderId="32" xfId="0" applyNumberFormat="1" applyFont="1" applyFill="1" applyBorder="1"/>
    <xf numFmtId="173" fontId="6" fillId="9" borderId="30" xfId="0" applyNumberFormat="1" applyFont="1" applyFill="1" applyBorder="1"/>
    <xf numFmtId="173" fontId="6" fillId="9" borderId="4" xfId="3" applyNumberFormat="1" applyFont="1" applyFill="1" applyBorder="1"/>
    <xf numFmtId="173" fontId="6" fillId="9" borderId="41" xfId="0" applyNumberFormat="1" applyFont="1" applyFill="1" applyBorder="1"/>
    <xf numFmtId="173" fontId="7" fillId="9" borderId="38" xfId="0" applyNumberFormat="1" applyFont="1" applyFill="1" applyBorder="1"/>
    <xf numFmtId="173" fontId="6" fillId="9" borderId="34" xfId="0" applyNumberFormat="1" applyFont="1" applyFill="1" applyBorder="1"/>
    <xf numFmtId="173" fontId="6" fillId="9" borderId="5" xfId="0" applyNumberFormat="1" applyFont="1" applyFill="1" applyBorder="1"/>
    <xf numFmtId="173" fontId="7" fillId="9" borderId="22" xfId="0" applyNumberFormat="1" applyFont="1" applyFill="1" applyBorder="1"/>
    <xf numFmtId="173" fontId="6" fillId="14" borderId="5" xfId="0" applyNumberFormat="1" applyFont="1" applyFill="1" applyBorder="1"/>
    <xf numFmtId="173" fontId="7" fillId="14" borderId="22" xfId="0" applyNumberFormat="1" applyFont="1" applyFill="1" applyBorder="1"/>
    <xf numFmtId="173" fontId="6" fillId="14" borderId="4" xfId="0" applyNumberFormat="1" applyFont="1" applyFill="1" applyBorder="1"/>
    <xf numFmtId="173" fontId="7" fillId="14" borderId="6" xfId="0" applyNumberFormat="1" applyFont="1" applyFill="1" applyBorder="1"/>
    <xf numFmtId="173" fontId="7" fillId="14" borderId="8" xfId="0" applyNumberFormat="1" applyFont="1" applyFill="1" applyBorder="1"/>
    <xf numFmtId="173" fontId="6" fillId="9" borderId="14" xfId="0" applyNumberFormat="1" applyFont="1" applyFill="1" applyBorder="1"/>
    <xf numFmtId="173" fontId="6" fillId="9" borderId="4" xfId="0" applyNumberFormat="1" applyFont="1" applyFill="1" applyBorder="1"/>
    <xf numFmtId="173" fontId="7" fillId="9" borderId="6" xfId="0" applyNumberFormat="1" applyFont="1" applyFill="1" applyBorder="1"/>
    <xf numFmtId="173" fontId="7" fillId="9" borderId="16" xfId="0" applyNumberFormat="1" applyFont="1" applyFill="1" applyBorder="1"/>
    <xf numFmtId="173" fontId="7" fillId="9" borderId="8" xfId="0" applyNumberFormat="1" applyFont="1" applyFill="1" applyBorder="1"/>
    <xf numFmtId="15" fontId="7" fillId="16" borderId="6" xfId="0" applyNumberFormat="1" applyFont="1" applyFill="1" applyBorder="1" applyAlignment="1">
      <alignment horizontal="right"/>
    </xf>
    <xf numFmtId="2" fontId="7" fillId="16" borderId="6" xfId="0" applyNumberFormat="1" applyFont="1" applyFill="1" applyBorder="1"/>
    <xf numFmtId="168" fontId="7" fillId="16" borderId="6" xfId="0" applyNumberFormat="1" applyFont="1" applyFill="1" applyBorder="1"/>
    <xf numFmtId="167" fontId="7" fillId="16" borderId="7" xfId="4" applyNumberFormat="1" applyFont="1" applyFill="1" applyBorder="1"/>
    <xf numFmtId="0" fontId="7" fillId="16" borderId="0" xfId="0" applyFont="1" applyFill="1"/>
    <xf numFmtId="0" fontId="7" fillId="16" borderId="15" xfId="0" applyFont="1" applyFill="1" applyBorder="1"/>
    <xf numFmtId="173" fontId="7" fillId="16" borderId="7" xfId="0" applyNumberFormat="1" applyFont="1" applyFill="1" applyBorder="1"/>
    <xf numFmtId="173" fontId="7" fillId="16" borderId="21" xfId="0" applyNumberFormat="1" applyFont="1" applyFill="1" applyBorder="1"/>
    <xf numFmtId="173" fontId="7" fillId="16" borderId="24" xfId="0" applyNumberFormat="1" applyFont="1" applyFill="1" applyBorder="1"/>
    <xf numFmtId="173" fontId="7" fillId="16" borderId="18" xfId="3" applyNumberFormat="1" applyFont="1" applyFill="1" applyBorder="1"/>
    <xf numFmtId="173" fontId="7" fillId="16" borderId="49" xfId="3" applyNumberFormat="1" applyFont="1" applyFill="1" applyBorder="1"/>
    <xf numFmtId="173" fontId="7" fillId="16" borderId="30" xfId="0" applyNumberFormat="1" applyFont="1" applyFill="1" applyBorder="1"/>
    <xf numFmtId="173" fontId="7" fillId="16" borderId="15" xfId="0" applyNumberFormat="1" applyFont="1" applyFill="1" applyBorder="1"/>
    <xf numFmtId="173" fontId="7" fillId="16" borderId="6" xfId="0" applyNumberFormat="1" applyFont="1" applyFill="1" applyBorder="1"/>
    <xf numFmtId="173" fontId="6" fillId="16" borderId="24" xfId="0" applyNumberFormat="1" applyFont="1" applyFill="1" applyBorder="1"/>
    <xf numFmtId="173" fontId="6" fillId="16" borderId="15" xfId="0" applyNumberFormat="1" applyFont="1" applyFill="1" applyBorder="1"/>
    <xf numFmtId="173" fontId="6" fillId="16" borderId="6" xfId="0" applyNumberFormat="1" applyFont="1" applyFill="1" applyBorder="1"/>
    <xf numFmtId="173" fontId="6" fillId="16" borderId="7" xfId="0" applyNumberFormat="1" applyFont="1" applyFill="1" applyBorder="1"/>
    <xf numFmtId="173" fontId="6" fillId="16" borderId="14" xfId="0" applyNumberFormat="1" applyFont="1" applyFill="1" applyBorder="1"/>
    <xf numFmtId="173" fontId="6" fillId="16" borderId="4" xfId="0" applyNumberFormat="1" applyFont="1" applyFill="1" applyBorder="1"/>
    <xf numFmtId="173" fontId="6" fillId="16" borderId="5" xfId="0" applyNumberFormat="1" applyFont="1" applyFill="1" applyBorder="1"/>
    <xf numFmtId="17" fontId="2" fillId="16" borderId="6" xfId="0" applyNumberFormat="1" applyFont="1" applyFill="1" applyBorder="1"/>
    <xf numFmtId="0" fontId="7" fillId="17" borderId="0" xfId="0" applyFont="1" applyFill="1" applyBorder="1"/>
    <xf numFmtId="0" fontId="7" fillId="17" borderId="0" xfId="0" applyFont="1" applyFill="1" applyAlignment="1">
      <alignment vertical="center" wrapText="1"/>
    </xf>
    <xf numFmtId="0" fontId="7" fillId="17" borderId="0" xfId="0" applyFont="1" applyFill="1" applyAlignment="1">
      <alignment vertical="center"/>
    </xf>
    <xf numFmtId="1" fontId="10" fillId="2" borderId="0" xfId="0" applyNumberFormat="1" applyFont="1" applyFill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1" fontId="5" fillId="3" borderId="29" xfId="0" applyNumberFormat="1" applyFont="1" applyFill="1" applyBorder="1" applyAlignment="1">
      <alignment horizontal="center" vertical="center" wrapText="1"/>
    </xf>
    <xf numFmtId="164" fontId="7" fillId="17" borderId="0" xfId="2" applyFont="1" applyFill="1"/>
    <xf numFmtId="0" fontId="6" fillId="3" borderId="43" xfId="0" applyFont="1" applyFill="1" applyBorder="1" applyAlignment="1">
      <alignment horizontal="center" vertical="center" wrapText="1"/>
    </xf>
    <xf numFmtId="173" fontId="2" fillId="16" borderId="7" xfId="0" applyNumberFormat="1" applyFont="1" applyFill="1" applyBorder="1"/>
    <xf numFmtId="173" fontId="2" fillId="16" borderId="9" xfId="0" applyNumberFormat="1" applyFont="1" applyFill="1" applyBorder="1"/>
    <xf numFmtId="173" fontId="7" fillId="16" borderId="9" xfId="0" applyNumberFormat="1" applyFont="1" applyFill="1" applyBorder="1"/>
    <xf numFmtId="1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7" fontId="7" fillId="2" borderId="0" xfId="4" applyNumberFormat="1" applyFont="1" applyFill="1" applyAlignment="1">
      <alignment horizontal="center" vertical="center" wrapText="1"/>
    </xf>
    <xf numFmtId="0" fontId="7" fillId="17" borderId="0" xfId="0" applyFont="1" applyFill="1" applyAlignment="1">
      <alignment horizontal="center" vertical="center" wrapText="1"/>
    </xf>
    <xf numFmtId="173" fontId="6" fillId="16" borderId="16" xfId="0" applyNumberFormat="1" applyFont="1" applyFill="1" applyBorder="1"/>
    <xf numFmtId="173" fontId="7" fillId="16" borderId="32" xfId="0" applyNumberFormat="1" applyFont="1" applyFill="1" applyBorder="1"/>
    <xf numFmtId="173" fontId="7" fillId="16" borderId="35" xfId="3" applyNumberFormat="1" applyFont="1" applyFill="1" applyBorder="1"/>
    <xf numFmtId="17" fontId="7" fillId="15" borderId="2" xfId="0" applyNumberFormat="1" applyFont="1" applyFill="1" applyBorder="1"/>
    <xf numFmtId="175" fontId="3" fillId="9" borderId="14" xfId="5" applyNumberFormat="1" applyFont="1" applyFill="1" applyBorder="1"/>
    <xf numFmtId="10" fontId="7" fillId="2" borderId="0" xfId="0" applyNumberFormat="1" applyFont="1" applyFill="1"/>
    <xf numFmtId="173" fontId="6" fillId="17" borderId="0" xfId="3" applyNumberFormat="1" applyFont="1" applyFill="1" applyBorder="1"/>
    <xf numFmtId="176" fontId="7" fillId="17" borderId="0" xfId="0" applyNumberFormat="1" applyFont="1" applyFill="1" applyBorder="1"/>
    <xf numFmtId="173" fontId="7" fillId="2" borderId="0" xfId="0" applyNumberFormat="1" applyFont="1" applyFill="1"/>
    <xf numFmtId="1" fontId="3" fillId="2" borderId="14" xfId="0" applyNumberFormat="1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45" xfId="0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 wrapText="1"/>
    </xf>
    <xf numFmtId="0" fontId="3" fillId="8" borderId="45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173" fontId="7" fillId="14" borderId="21" xfId="0" applyNumberFormat="1" applyFont="1" applyFill="1" applyBorder="1" applyAlignment="1">
      <alignment horizontal="center"/>
    </xf>
    <xf numFmtId="173" fontId="7" fillId="14" borderId="37" xfId="0" applyNumberFormat="1" applyFont="1" applyFill="1" applyBorder="1" applyAlignment="1">
      <alignment horizontal="center"/>
    </xf>
    <xf numFmtId="173" fontId="7" fillId="14" borderId="22" xfId="0" applyNumberFormat="1" applyFont="1" applyFill="1" applyBorder="1" applyAlignment="1">
      <alignment horizontal="center"/>
    </xf>
    <xf numFmtId="173" fontId="7" fillId="14" borderId="54" xfId="0" applyNumberFormat="1" applyFont="1" applyFill="1" applyBorder="1" applyAlignment="1">
      <alignment horizontal="center"/>
    </xf>
    <xf numFmtId="173" fontId="7" fillId="14" borderId="15" xfId="0" applyNumberFormat="1" applyFont="1" applyFill="1" applyBorder="1" applyAlignment="1">
      <alignment horizontal="center"/>
    </xf>
    <xf numFmtId="173" fontId="7" fillId="14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46" xfId="0" applyNumberFormat="1" applyFont="1" applyFill="1" applyBorder="1" applyAlignment="1">
      <alignment horizontal="center" vertical="center"/>
    </xf>
    <xf numFmtId="1" fontId="6" fillId="2" borderId="36" xfId="0" applyNumberFormat="1" applyFont="1" applyFill="1" applyBorder="1" applyAlignment="1">
      <alignment horizontal="center" vertical="center"/>
    </xf>
    <xf numFmtId="173" fontId="6" fillId="14" borderId="20" xfId="0" applyNumberFormat="1" applyFont="1" applyFill="1" applyBorder="1" applyAlignment="1">
      <alignment horizontal="center"/>
    </xf>
    <xf numFmtId="173" fontId="6" fillId="14" borderId="34" xfId="0" applyNumberFormat="1" applyFont="1" applyFill="1" applyBorder="1" applyAlignment="1">
      <alignment horizontal="center"/>
    </xf>
    <xf numFmtId="173" fontId="7" fillId="14" borderId="23" xfId="0" applyNumberFormat="1" applyFont="1" applyFill="1" applyBorder="1" applyAlignment="1">
      <alignment horizontal="center"/>
    </xf>
    <xf numFmtId="173" fontId="7" fillId="14" borderId="51" xfId="0" applyNumberFormat="1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 vertical="center" wrapText="1"/>
    </xf>
    <xf numFmtId="173" fontId="7" fillId="14" borderId="16" xfId="0" applyNumberFormat="1" applyFont="1" applyFill="1" applyBorder="1" applyAlignment="1">
      <alignment horizontal="center"/>
    </xf>
    <xf numFmtId="173" fontId="7" fillId="14" borderId="9" xfId="0" applyNumberFormat="1" applyFont="1" applyFill="1" applyBorder="1" applyAlignment="1">
      <alignment horizontal="center"/>
    </xf>
    <xf numFmtId="173" fontId="6" fillId="16" borderId="15" xfId="0" applyNumberFormat="1" applyFont="1" applyFill="1" applyBorder="1" applyAlignment="1">
      <alignment horizontal="center"/>
    </xf>
    <xf numFmtId="173" fontId="6" fillId="16" borderId="7" xfId="0" applyNumberFormat="1" applyFont="1" applyFill="1" applyBorder="1" applyAlignment="1">
      <alignment horizontal="center"/>
    </xf>
    <xf numFmtId="173" fontId="7" fillId="16" borderId="15" xfId="0" applyNumberFormat="1" applyFont="1" applyFill="1" applyBorder="1" applyAlignment="1">
      <alignment horizontal="center"/>
    </xf>
    <xf numFmtId="173" fontId="7" fillId="16" borderId="7" xfId="0" applyNumberFormat="1" applyFont="1" applyFill="1" applyBorder="1" applyAlignment="1">
      <alignment horizontal="center"/>
    </xf>
    <xf numFmtId="173" fontId="6" fillId="14" borderId="14" xfId="0" applyNumberFormat="1" applyFont="1" applyFill="1" applyBorder="1" applyAlignment="1">
      <alignment horizontal="center"/>
    </xf>
    <xf numFmtId="173" fontId="6" fillId="14" borderId="5" xfId="0" applyNumberFormat="1" applyFont="1" applyFill="1" applyBorder="1" applyAlignment="1">
      <alignment horizontal="center"/>
    </xf>
    <xf numFmtId="0" fontId="5" fillId="13" borderId="29" xfId="0" applyFont="1" applyFill="1" applyBorder="1" applyAlignment="1">
      <alignment horizontal="center" vertical="center"/>
    </xf>
    <xf numFmtId="0" fontId="5" fillId="13" borderId="45" xfId="0" applyFont="1" applyFill="1" applyBorder="1" applyAlignment="1">
      <alignment horizontal="center" vertical="center"/>
    </xf>
    <xf numFmtId="0" fontId="5" fillId="13" borderId="44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 wrapText="1"/>
    </xf>
    <xf numFmtId="0" fontId="5" fillId="10" borderId="45" xfId="0" applyFont="1" applyFill="1" applyBorder="1" applyAlignment="1">
      <alignment horizontal="center" vertical="center" wrapText="1"/>
    </xf>
    <xf numFmtId="0" fontId="5" fillId="10" borderId="44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0" fontId="6" fillId="11" borderId="44" xfId="0" applyFont="1" applyFill="1" applyBorder="1" applyAlignment="1">
      <alignment horizontal="center" vertical="center" wrapText="1"/>
    </xf>
    <xf numFmtId="0" fontId="5" fillId="16" borderId="29" xfId="0" applyFont="1" applyFill="1" applyBorder="1" applyAlignment="1">
      <alignment horizontal="center" vertical="center" wrapText="1"/>
    </xf>
    <xf numFmtId="0" fontId="5" fillId="16" borderId="44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 wrapText="1"/>
    </xf>
    <xf numFmtId="0" fontId="5" fillId="16" borderId="45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9" fillId="16" borderId="29" xfId="0" applyFont="1" applyFill="1" applyBorder="1" applyAlignment="1">
      <alignment horizontal="center" vertical="center" wrapText="1"/>
    </xf>
    <xf numFmtId="0" fontId="9" fillId="16" borderId="45" xfId="0" applyFont="1" applyFill="1" applyBorder="1" applyAlignment="1">
      <alignment horizontal="center" vertical="center" wrapText="1"/>
    </xf>
    <xf numFmtId="0" fontId="9" fillId="16" borderId="44" xfId="0" applyFont="1" applyFill="1" applyBorder="1" applyAlignment="1">
      <alignment horizontal="center" vertical="center" wrapText="1"/>
    </xf>
    <xf numFmtId="0" fontId="6" fillId="16" borderId="29" xfId="0" applyFont="1" applyFill="1" applyBorder="1" applyAlignment="1">
      <alignment horizontal="center" vertical="center" wrapText="1"/>
    </xf>
    <xf numFmtId="0" fontId="6" fillId="16" borderId="44" xfId="0" applyFont="1" applyFill="1" applyBorder="1" applyAlignment="1">
      <alignment horizontal="center" vertical="center" wrapText="1"/>
    </xf>
    <xf numFmtId="173" fontId="7" fillId="14" borderId="14" xfId="0" applyNumberFormat="1" applyFont="1" applyFill="1" applyBorder="1" applyAlignment="1">
      <alignment horizontal="center"/>
    </xf>
    <xf numFmtId="173" fontId="7" fillId="14" borderId="5" xfId="0" applyNumberFormat="1" applyFont="1" applyFill="1" applyBorder="1" applyAlignment="1">
      <alignment horizontal="center"/>
    </xf>
    <xf numFmtId="173" fontId="6" fillId="14" borderId="21" xfId="0" applyNumberFormat="1" applyFont="1" applyFill="1" applyBorder="1" applyAlignment="1">
      <alignment horizontal="center"/>
    </xf>
    <xf numFmtId="173" fontId="6" fillId="14" borderId="37" xfId="0" applyNumberFormat="1" applyFont="1" applyFill="1" applyBorder="1" applyAlignment="1">
      <alignment horizontal="center"/>
    </xf>
    <xf numFmtId="1" fontId="6" fillId="2" borderId="47" xfId="0" applyNumberFormat="1" applyFont="1" applyFill="1" applyBorder="1" applyAlignment="1">
      <alignment horizontal="center" vertical="center"/>
    </xf>
    <xf numFmtId="1" fontId="6" fillId="2" borderId="33" xfId="0" applyNumberFormat="1" applyFont="1" applyFill="1" applyBorder="1" applyAlignment="1">
      <alignment horizontal="center" vertical="center"/>
    </xf>
    <xf numFmtId="1" fontId="6" fillId="2" borderId="48" xfId="0" applyNumberFormat="1" applyFont="1" applyFill="1" applyBorder="1" applyAlignment="1">
      <alignment horizontal="center" vertical="center"/>
    </xf>
    <xf numFmtId="173" fontId="3" fillId="14" borderId="20" xfId="0" applyNumberFormat="1" applyFont="1" applyFill="1" applyBorder="1" applyAlignment="1">
      <alignment horizontal="center"/>
    </xf>
    <xf numFmtId="173" fontId="3" fillId="14" borderId="34" xfId="0" applyNumberFormat="1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 vertical="center" wrapText="1"/>
    </xf>
    <xf numFmtId="0" fontId="3" fillId="16" borderId="29" xfId="0" applyFont="1" applyFill="1" applyBorder="1" applyAlignment="1">
      <alignment horizontal="center" vertical="center" wrapText="1"/>
    </xf>
    <xf numFmtId="0" fontId="5" fillId="18" borderId="29" xfId="0" applyFont="1" applyFill="1" applyBorder="1" applyAlignment="1">
      <alignment horizontal="center" vertical="center" wrapText="1"/>
    </xf>
    <xf numFmtId="0" fontId="5" fillId="18" borderId="45" xfId="0" applyFont="1" applyFill="1" applyBorder="1" applyAlignment="1">
      <alignment horizontal="center" vertical="center" wrapText="1"/>
    </xf>
    <xf numFmtId="0" fontId="5" fillId="18" borderId="44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5" fillId="11" borderId="45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5" fillId="19" borderId="29" xfId="0" applyFont="1" applyFill="1" applyBorder="1" applyAlignment="1">
      <alignment horizontal="center" vertical="center" wrapText="1"/>
    </xf>
    <xf numFmtId="0" fontId="5" fillId="19" borderId="45" xfId="0" applyFont="1" applyFill="1" applyBorder="1" applyAlignment="1">
      <alignment horizontal="center" vertical="center" wrapText="1"/>
    </xf>
    <xf numFmtId="0" fontId="5" fillId="19" borderId="44" xfId="0" applyFont="1" applyFill="1" applyBorder="1" applyAlignment="1">
      <alignment horizontal="center" vertical="center" wrapText="1"/>
    </xf>
    <xf numFmtId="0" fontId="5" fillId="20" borderId="29" xfId="0" applyFont="1" applyFill="1" applyBorder="1" applyAlignment="1">
      <alignment horizontal="center" vertical="center"/>
    </xf>
    <xf numFmtId="0" fontId="5" fillId="20" borderId="44" xfId="0" applyFont="1" applyFill="1" applyBorder="1" applyAlignment="1">
      <alignment horizontal="center" vertical="center"/>
    </xf>
    <xf numFmtId="173" fontId="7" fillId="9" borderId="17" xfId="0" applyNumberFormat="1" applyFont="1" applyFill="1" applyBorder="1"/>
    <xf numFmtId="173" fontId="7" fillId="9" borderId="11" xfId="0" applyNumberFormat="1" applyFont="1" applyFill="1" applyBorder="1"/>
    <xf numFmtId="173" fontId="2" fillId="14" borderId="7" xfId="0" applyNumberFormat="1" applyFont="1" applyFill="1" applyBorder="1"/>
    <xf numFmtId="173" fontId="2" fillId="14" borderId="13" xfId="0" applyNumberFormat="1" applyFont="1" applyFill="1" applyBorder="1"/>
    <xf numFmtId="173" fontId="2" fillId="14" borderId="7" xfId="3" applyNumberFormat="1" applyFont="1" applyFill="1" applyBorder="1"/>
    <xf numFmtId="173" fontId="2" fillId="14" borderId="9" xfId="3" applyNumberFormat="1" applyFont="1" applyFill="1" applyBorder="1"/>
    <xf numFmtId="173" fontId="6" fillId="14" borderId="14" xfId="3" applyNumberFormat="1" applyFont="1" applyFill="1" applyBorder="1"/>
  </cellXfs>
  <cellStyles count="6">
    <cellStyle name="Millares" xfId="1" builtinId="3"/>
    <cellStyle name="Millares [0]" xfId="2" builtinId="6"/>
    <cellStyle name="Moneda" xfId="3" builtinId="4"/>
    <cellStyle name="Moneda [0]" xfId="5" builtinId="7"/>
    <cellStyle name="Normal" xfId="0" builtinId="0"/>
    <cellStyle name="Porcentaje" xfId="4" builtinId="5"/>
  </cellStyles>
  <dxfs count="0"/>
  <tableStyles count="0" defaultTableStyle="TableStyleMedium9" defaultPivotStyle="PivotStyleLight16"/>
  <colors>
    <mruColors>
      <color rgb="FFF5617A"/>
      <color rgb="FFFBC5CE"/>
      <color rgb="FFFFFF99"/>
      <color rgb="FFF33958"/>
      <color rgb="FFF7798E"/>
      <color rgb="FFE90D32"/>
      <color rgb="FFEC1A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3</xdr:row>
      <xdr:rowOff>27215</xdr:rowOff>
    </xdr:from>
    <xdr:to>
      <xdr:col>2</xdr:col>
      <xdr:colOff>398995</xdr:colOff>
      <xdr:row>7</xdr:row>
      <xdr:rowOff>90714</xdr:rowOff>
    </xdr:to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CCDE964E-3B48-458F-AF49-4BF7F5A43F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65" t="12233" r="14205" b="11370"/>
        <a:stretch/>
      </xdr:blipFill>
      <xdr:spPr bwMode="auto">
        <a:xfrm>
          <a:off x="272143" y="480786"/>
          <a:ext cx="725566" cy="807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150007</xdr:colOff>
      <xdr:row>3</xdr:row>
      <xdr:rowOff>272143</xdr:rowOff>
    </xdr:from>
    <xdr:to>
      <xdr:col>2</xdr:col>
      <xdr:colOff>503644</xdr:colOff>
      <xdr:row>5</xdr:row>
      <xdr:rowOff>281214</xdr:rowOff>
    </xdr:to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D064F15A-E30B-4838-B1DB-1488A9433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65" t="12233" r="14205" b="11370"/>
        <a:stretch/>
      </xdr:blipFill>
      <xdr:spPr bwMode="auto">
        <a:xfrm>
          <a:off x="222578" y="716643"/>
          <a:ext cx="725566" cy="807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N141"/>
  <sheetViews>
    <sheetView zoomScale="70" zoomScaleNormal="70" workbookViewId="0"/>
  </sheetViews>
  <sheetFormatPr baseColWidth="10" defaultColWidth="11.42578125" defaultRowHeight="10.5" x14ac:dyDescent="0.15"/>
  <cols>
    <col min="1" max="1" width="3.5703125" style="3" customWidth="1"/>
    <col min="2" max="2" width="5" style="20" bestFit="1" customWidth="1"/>
    <col min="3" max="3" width="21.28515625" style="3" bestFit="1" customWidth="1"/>
    <col min="4" max="4" width="6.42578125" style="11" bestFit="1" customWidth="1"/>
    <col min="5" max="5" width="9.42578125" style="3" bestFit="1" customWidth="1"/>
    <col min="6" max="6" width="9.42578125" style="14" bestFit="1" customWidth="1"/>
    <col min="7" max="7" width="2.85546875" style="3" customWidth="1"/>
    <col min="8" max="8" width="9.7109375" style="3" bestFit="1" customWidth="1"/>
    <col min="9" max="9" width="10" style="3" bestFit="1" customWidth="1"/>
    <col min="10" max="10" width="1" style="3" customWidth="1"/>
    <col min="11" max="11" width="9.7109375" style="3" bestFit="1" customWidth="1"/>
    <col min="12" max="12" width="10" style="3" bestFit="1" customWidth="1"/>
    <col min="13" max="13" width="1" style="3" customWidth="1"/>
    <col min="14" max="14" width="9.7109375" style="3" bestFit="1" customWidth="1"/>
    <col min="15" max="15" width="10" style="3" bestFit="1" customWidth="1"/>
    <col min="16" max="16" width="2.85546875" style="3" customWidth="1"/>
    <col min="17" max="18" width="11.28515625" style="3" bestFit="1" customWidth="1"/>
    <col min="19" max="19" width="1" style="3" customWidth="1"/>
    <col min="20" max="20" width="11.28515625" style="3" bestFit="1" customWidth="1"/>
    <col min="21" max="21" width="11.5703125" style="3" customWidth="1"/>
    <col min="22" max="22" width="1" style="3" customWidth="1"/>
    <col min="23" max="23" width="11.28515625" style="3" customWidth="1"/>
    <col min="24" max="24" width="11.28515625" style="3" bestFit="1" customWidth="1"/>
    <col min="25" max="25" width="4.140625" style="3" customWidth="1"/>
    <col min="26" max="26" width="9.7109375" style="3" bestFit="1" customWidth="1"/>
    <col min="27" max="27" width="10" style="3" bestFit="1" customWidth="1"/>
    <col min="28" max="28" width="1.5703125" style="3" customWidth="1"/>
    <col min="29" max="29" width="11.28515625" style="3" bestFit="1" customWidth="1"/>
    <col min="30" max="30" width="11.5703125" style="3" customWidth="1"/>
    <col min="31" max="31" width="5" style="3" customWidth="1"/>
    <col min="32" max="32" width="10.42578125" style="3" customWidth="1"/>
    <col min="33" max="33" width="10" style="3" bestFit="1" customWidth="1"/>
    <col min="34" max="16384" width="11.42578125" style="3"/>
  </cols>
  <sheetData>
    <row r="2" spans="2:33" ht="12.75" x14ac:dyDescent="0.2">
      <c r="B2" s="96" t="s">
        <v>7</v>
      </c>
    </row>
    <row r="3" spans="2:33" ht="13.5" thickBot="1" x14ac:dyDescent="0.25">
      <c r="B3" s="96" t="s">
        <v>8</v>
      </c>
    </row>
    <row r="4" spans="2:33" ht="25.5" customHeight="1" thickBot="1" x14ac:dyDescent="0.2">
      <c r="H4" s="350" t="s">
        <v>14</v>
      </c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2"/>
      <c r="Y4" s="79"/>
      <c r="Z4" s="353" t="s">
        <v>15</v>
      </c>
      <c r="AA4" s="354"/>
      <c r="AB4" s="354"/>
      <c r="AC4" s="354"/>
      <c r="AD4" s="355"/>
      <c r="AE4" s="79"/>
      <c r="AF4" s="348" t="s">
        <v>20</v>
      </c>
      <c r="AG4" s="349"/>
    </row>
    <row r="5" spans="2:33" ht="5.25" customHeight="1" thickBot="1" x14ac:dyDescent="0.2"/>
    <row r="6" spans="2:33" ht="23.25" customHeight="1" thickBot="1" x14ac:dyDescent="0.2">
      <c r="H6" s="356" t="s">
        <v>18</v>
      </c>
      <c r="I6" s="357"/>
      <c r="J6" s="357"/>
      <c r="K6" s="357"/>
      <c r="L6" s="357"/>
      <c r="M6" s="357"/>
      <c r="N6" s="357"/>
      <c r="O6" s="358"/>
      <c r="P6" s="80"/>
      <c r="Q6" s="356" t="s">
        <v>18</v>
      </c>
      <c r="R6" s="357"/>
      <c r="S6" s="357"/>
      <c r="T6" s="357"/>
      <c r="U6" s="357"/>
      <c r="V6" s="357"/>
      <c r="W6" s="357"/>
      <c r="X6" s="358"/>
      <c r="Z6" s="346" t="s">
        <v>16</v>
      </c>
      <c r="AA6" s="347"/>
      <c r="AB6" s="80"/>
      <c r="AC6" s="346" t="s">
        <v>17</v>
      </c>
      <c r="AD6" s="347"/>
      <c r="AF6" s="346" t="s">
        <v>16</v>
      </c>
      <c r="AG6" s="347"/>
    </row>
    <row r="7" spans="2:33" ht="5.25" customHeight="1" thickBot="1" x14ac:dyDescent="0.2"/>
    <row r="8" spans="2:33" ht="11.25" thickBot="1" x14ac:dyDescent="0.2">
      <c r="B8" s="19"/>
      <c r="C8" s="1"/>
      <c r="D8" s="1"/>
      <c r="E8" s="1"/>
      <c r="F8" s="2"/>
      <c r="H8" s="342" t="s">
        <v>11</v>
      </c>
      <c r="I8" s="343"/>
      <c r="K8" s="342" t="s">
        <v>12</v>
      </c>
      <c r="L8" s="343"/>
      <c r="N8" s="342" t="s">
        <v>13</v>
      </c>
      <c r="O8" s="343"/>
      <c r="Q8" s="342" t="s">
        <v>11</v>
      </c>
      <c r="R8" s="343"/>
      <c r="T8" s="342" t="s">
        <v>12</v>
      </c>
      <c r="U8" s="343"/>
      <c r="W8" s="342" t="s">
        <v>13</v>
      </c>
      <c r="X8" s="343"/>
      <c r="Z8" s="342" t="s">
        <v>19</v>
      </c>
      <c r="AA8" s="343"/>
      <c r="AC8" s="342" t="s">
        <v>19</v>
      </c>
      <c r="AD8" s="343"/>
      <c r="AF8" s="342" t="s">
        <v>19</v>
      </c>
      <c r="AG8" s="343"/>
    </row>
    <row r="9" spans="2:33" ht="63.75" thickBot="1" x14ac:dyDescent="0.2">
      <c r="B9" s="15" t="s">
        <v>0</v>
      </c>
      <c r="C9" s="71" t="s">
        <v>1</v>
      </c>
      <c r="D9" s="71" t="s">
        <v>2</v>
      </c>
      <c r="E9" s="16" t="s">
        <v>3</v>
      </c>
      <c r="F9" s="17" t="s">
        <v>4</v>
      </c>
      <c r="H9" s="47" t="s">
        <v>6</v>
      </c>
      <c r="I9" s="18" t="s">
        <v>5</v>
      </c>
      <c r="K9" s="47" t="s">
        <v>6</v>
      </c>
      <c r="L9" s="18" t="s">
        <v>5</v>
      </c>
      <c r="N9" s="47" t="s">
        <v>6</v>
      </c>
      <c r="O9" s="18" t="s">
        <v>5</v>
      </c>
      <c r="Q9" s="47" t="s">
        <v>9</v>
      </c>
      <c r="R9" s="18" t="s">
        <v>10</v>
      </c>
      <c r="T9" s="47" t="s">
        <v>9</v>
      </c>
      <c r="U9" s="18" t="s">
        <v>10</v>
      </c>
      <c r="W9" s="47" t="s">
        <v>9</v>
      </c>
      <c r="X9" s="18" t="s">
        <v>10</v>
      </c>
      <c r="Z9" s="47" t="s">
        <v>6</v>
      </c>
      <c r="AA9" s="18" t="s">
        <v>5</v>
      </c>
      <c r="AC9" s="47" t="s">
        <v>9</v>
      </c>
      <c r="AD9" s="18" t="s">
        <v>10</v>
      </c>
      <c r="AF9" s="47" t="s">
        <v>6</v>
      </c>
      <c r="AG9" s="18" t="s">
        <v>5</v>
      </c>
    </row>
    <row r="10" spans="2:33" x14ac:dyDescent="0.15">
      <c r="B10" s="339">
        <v>2000</v>
      </c>
      <c r="C10" s="69">
        <v>36678</v>
      </c>
      <c r="D10" s="32">
        <v>294.3787139528585</v>
      </c>
      <c r="E10" s="21"/>
      <c r="F10" s="22"/>
      <c r="H10" s="48"/>
      <c r="I10" s="23"/>
      <c r="K10" s="48"/>
      <c r="L10" s="23"/>
      <c r="N10" s="48"/>
      <c r="O10" s="23"/>
      <c r="Q10" s="48"/>
      <c r="R10" s="23"/>
      <c r="T10" s="48"/>
      <c r="U10" s="23"/>
      <c r="W10" s="48"/>
      <c r="X10" s="23"/>
      <c r="Z10" s="48"/>
      <c r="AA10" s="23"/>
      <c r="AC10" s="48"/>
      <c r="AD10" s="23"/>
      <c r="AF10" s="48"/>
      <c r="AG10" s="23"/>
    </row>
    <row r="11" spans="2:33" x14ac:dyDescent="0.15">
      <c r="B11" s="340"/>
      <c r="C11" s="68">
        <v>36708</v>
      </c>
      <c r="D11" s="24">
        <v>297.15891799918705</v>
      </c>
      <c r="E11" s="25"/>
      <c r="F11" s="26"/>
      <c r="H11" s="49"/>
      <c r="I11" s="27"/>
      <c r="K11" s="49"/>
      <c r="L11" s="27"/>
      <c r="N11" s="49"/>
      <c r="O11" s="27"/>
      <c r="Q11" s="49"/>
      <c r="R11" s="27"/>
      <c r="T11" s="49"/>
      <c r="U11" s="27"/>
      <c r="W11" s="49"/>
      <c r="X11" s="27"/>
      <c r="Z11" s="49"/>
      <c r="AA11" s="27"/>
      <c r="AC11" s="49"/>
      <c r="AD11" s="27"/>
      <c r="AF11" s="49"/>
      <c r="AG11" s="27"/>
    </row>
    <row r="12" spans="2:33" x14ac:dyDescent="0.15">
      <c r="B12" s="340"/>
      <c r="C12" s="68">
        <v>36739</v>
      </c>
      <c r="D12" s="24">
        <v>299.49624645588051</v>
      </c>
      <c r="E12" s="25"/>
      <c r="F12" s="26"/>
      <c r="G12" s="5"/>
      <c r="H12" s="49"/>
      <c r="I12" s="27"/>
      <c r="J12" s="5"/>
      <c r="K12" s="49"/>
      <c r="L12" s="27"/>
      <c r="M12" s="5"/>
      <c r="N12" s="49"/>
      <c r="O12" s="27"/>
      <c r="P12" s="5"/>
      <c r="Q12" s="49"/>
      <c r="R12" s="27"/>
      <c r="S12" s="5"/>
      <c r="T12" s="49"/>
      <c r="U12" s="27"/>
      <c r="V12" s="5"/>
      <c r="W12" s="49"/>
      <c r="X12" s="27"/>
      <c r="Z12" s="49"/>
      <c r="AA12" s="27"/>
      <c r="AC12" s="49"/>
      <c r="AD12" s="27"/>
      <c r="AF12" s="49"/>
      <c r="AG12" s="27"/>
    </row>
    <row r="13" spans="2:33" x14ac:dyDescent="0.15">
      <c r="B13" s="340"/>
      <c r="C13" s="68">
        <v>36770</v>
      </c>
      <c r="D13" s="24">
        <v>300.46941139187481</v>
      </c>
      <c r="E13" s="25"/>
      <c r="F13" s="26"/>
      <c r="G13" s="6"/>
      <c r="H13" s="49"/>
      <c r="I13" s="27"/>
      <c r="J13" s="6"/>
      <c r="K13" s="49"/>
      <c r="L13" s="27"/>
      <c r="M13" s="6"/>
      <c r="N13" s="49"/>
      <c r="O13" s="27"/>
      <c r="P13" s="6"/>
      <c r="Q13" s="49"/>
      <c r="R13" s="27"/>
      <c r="S13" s="6"/>
      <c r="T13" s="49"/>
      <c r="U13" s="27"/>
      <c r="V13" s="6"/>
      <c r="W13" s="49"/>
      <c r="X13" s="27"/>
      <c r="Z13" s="49"/>
      <c r="AA13" s="27"/>
      <c r="AC13" s="49"/>
      <c r="AD13" s="27"/>
      <c r="AF13" s="49"/>
      <c r="AG13" s="27"/>
    </row>
    <row r="14" spans="2:33" x14ac:dyDescent="0.15">
      <c r="B14" s="340"/>
      <c r="C14" s="68">
        <v>36800</v>
      </c>
      <c r="D14" s="24">
        <v>297.71580435692817</v>
      </c>
      <c r="E14" s="25"/>
      <c r="F14" s="26"/>
      <c r="G14" s="6"/>
      <c r="H14" s="49"/>
      <c r="I14" s="27"/>
      <c r="J14" s="6"/>
      <c r="K14" s="49"/>
      <c r="L14" s="27"/>
      <c r="M14" s="6"/>
      <c r="N14" s="49"/>
      <c r="O14" s="27"/>
      <c r="P14" s="6"/>
      <c r="Q14" s="49"/>
      <c r="R14" s="27"/>
      <c r="S14" s="6"/>
      <c r="T14" s="49"/>
      <c r="U14" s="27"/>
      <c r="V14" s="6"/>
      <c r="W14" s="49"/>
      <c r="X14" s="27"/>
      <c r="Z14" s="49"/>
      <c r="AA14" s="27"/>
      <c r="AC14" s="49"/>
      <c r="AD14" s="27"/>
      <c r="AF14" s="49"/>
      <c r="AG14" s="27"/>
    </row>
    <row r="15" spans="2:33" x14ac:dyDescent="0.15">
      <c r="B15" s="340"/>
      <c r="C15" s="68">
        <v>36831</v>
      </c>
      <c r="D15" s="24">
        <v>298.58129940306458</v>
      </c>
      <c r="E15" s="25"/>
      <c r="F15" s="26"/>
      <c r="G15" s="6"/>
      <c r="H15" s="49"/>
      <c r="I15" s="27"/>
      <c r="J15" s="6"/>
      <c r="K15" s="49"/>
      <c r="L15" s="27"/>
      <c r="M15" s="6"/>
      <c r="N15" s="49"/>
      <c r="O15" s="27"/>
      <c r="P15" s="6"/>
      <c r="Q15" s="49"/>
      <c r="R15" s="27"/>
      <c r="S15" s="6"/>
      <c r="T15" s="49"/>
      <c r="U15" s="27"/>
      <c r="V15" s="6"/>
      <c r="W15" s="49"/>
      <c r="X15" s="27"/>
      <c r="Z15" s="49"/>
      <c r="AA15" s="27"/>
      <c r="AC15" s="49"/>
      <c r="AD15" s="27"/>
      <c r="AF15" s="49"/>
      <c r="AG15" s="27"/>
    </row>
    <row r="16" spans="2:33" ht="11.25" thickBot="1" x14ac:dyDescent="0.2">
      <c r="B16" s="341"/>
      <c r="C16" s="70">
        <v>36861</v>
      </c>
      <c r="D16" s="28">
        <v>302.13640463263232</v>
      </c>
      <c r="E16" s="29"/>
      <c r="F16" s="30"/>
      <c r="G16" s="6"/>
      <c r="H16" s="50"/>
      <c r="I16" s="31"/>
      <c r="J16" s="6"/>
      <c r="K16" s="50"/>
      <c r="L16" s="31"/>
      <c r="M16" s="6"/>
      <c r="N16" s="50"/>
      <c r="O16" s="31"/>
      <c r="P16" s="6"/>
      <c r="Q16" s="50"/>
      <c r="R16" s="31"/>
      <c r="S16" s="6"/>
      <c r="T16" s="50"/>
      <c r="U16" s="31"/>
      <c r="V16" s="6"/>
      <c r="W16" s="50"/>
      <c r="X16" s="31"/>
      <c r="Z16" s="50"/>
      <c r="AA16" s="31"/>
      <c r="AC16" s="50"/>
      <c r="AD16" s="31"/>
      <c r="AF16" s="50"/>
      <c r="AG16" s="31"/>
    </row>
    <row r="17" spans="1:33" x14ac:dyDescent="0.15">
      <c r="B17" s="344">
        <v>2001</v>
      </c>
      <c r="C17" s="69">
        <v>36892</v>
      </c>
      <c r="D17" s="32">
        <v>313.0144239035763</v>
      </c>
      <c r="E17" s="33"/>
      <c r="F17" s="34"/>
      <c r="G17" s="6"/>
      <c r="H17" s="51"/>
      <c r="I17" s="35"/>
      <c r="J17" s="6"/>
      <c r="K17" s="51"/>
      <c r="L17" s="35"/>
      <c r="M17" s="6"/>
      <c r="N17" s="51"/>
      <c r="O17" s="35"/>
      <c r="P17" s="6"/>
      <c r="Q17" s="51"/>
      <c r="R17" s="35"/>
      <c r="S17" s="6"/>
      <c r="T17" s="51"/>
      <c r="U17" s="35"/>
      <c r="V17" s="6"/>
      <c r="W17" s="51"/>
      <c r="X17" s="35"/>
      <c r="Z17" s="51"/>
      <c r="AA17" s="35"/>
      <c r="AC17" s="51"/>
      <c r="AD17" s="35"/>
      <c r="AF17" s="51"/>
      <c r="AG17" s="35"/>
    </row>
    <row r="18" spans="1:33" x14ac:dyDescent="0.15">
      <c r="B18" s="340"/>
      <c r="C18" s="68">
        <v>36923</v>
      </c>
      <c r="D18" s="24">
        <v>315.72762022602075</v>
      </c>
      <c r="E18" s="25"/>
      <c r="F18" s="26"/>
      <c r="G18" s="6"/>
      <c r="H18" s="49"/>
      <c r="I18" s="27"/>
      <c r="J18" s="6"/>
      <c r="K18" s="49"/>
      <c r="L18" s="27"/>
      <c r="M18" s="6"/>
      <c r="N18" s="49"/>
      <c r="O18" s="27"/>
      <c r="P18" s="6"/>
      <c r="Q18" s="49"/>
      <c r="R18" s="27"/>
      <c r="S18" s="6"/>
      <c r="T18" s="49"/>
      <c r="U18" s="27"/>
      <c r="V18" s="6"/>
      <c r="W18" s="49"/>
      <c r="X18" s="27"/>
      <c r="Z18" s="49"/>
      <c r="AA18" s="27"/>
      <c r="AC18" s="49"/>
      <c r="AD18" s="27"/>
      <c r="AF18" s="49"/>
      <c r="AG18" s="27"/>
    </row>
    <row r="19" spans="1:33" x14ac:dyDescent="0.15">
      <c r="B19" s="340"/>
      <c r="C19" s="68">
        <v>36951</v>
      </c>
      <c r="D19" s="24">
        <v>319.49180910041929</v>
      </c>
      <c r="E19" s="25"/>
      <c r="F19" s="26"/>
      <c r="G19" s="6"/>
      <c r="H19" s="52"/>
      <c r="I19" s="27"/>
      <c r="J19" s="6"/>
      <c r="K19" s="52"/>
      <c r="L19" s="27"/>
      <c r="M19" s="6"/>
      <c r="N19" s="52"/>
      <c r="O19" s="27"/>
      <c r="P19" s="6"/>
      <c r="Q19" s="52"/>
      <c r="R19" s="27"/>
      <c r="S19" s="6"/>
      <c r="T19" s="52"/>
      <c r="U19" s="27"/>
      <c r="V19" s="6"/>
      <c r="W19" s="52"/>
      <c r="X19" s="27"/>
      <c r="Z19" s="52"/>
      <c r="AA19" s="27"/>
      <c r="AC19" s="52"/>
      <c r="AD19" s="27"/>
      <c r="AF19" s="52"/>
      <c r="AG19" s="27"/>
    </row>
    <row r="20" spans="1:33" x14ac:dyDescent="0.15">
      <c r="A20" s="7"/>
      <c r="B20" s="340"/>
      <c r="C20" s="68">
        <v>36982</v>
      </c>
      <c r="D20" s="24">
        <v>322.9140118492345</v>
      </c>
      <c r="E20" s="25"/>
      <c r="F20" s="26"/>
      <c r="G20" s="6"/>
      <c r="H20" s="49"/>
      <c r="I20" s="27"/>
      <c r="J20" s="6"/>
      <c r="K20" s="49"/>
      <c r="L20" s="27"/>
      <c r="M20" s="6"/>
      <c r="N20" s="49"/>
      <c r="O20" s="27"/>
      <c r="P20" s="6"/>
      <c r="Q20" s="49"/>
      <c r="R20" s="27"/>
      <c r="S20" s="6"/>
      <c r="T20" s="49"/>
      <c r="U20" s="27"/>
      <c r="V20" s="6"/>
      <c r="W20" s="49"/>
      <c r="X20" s="27"/>
      <c r="Z20" s="49"/>
      <c r="AA20" s="27"/>
      <c r="AC20" s="49"/>
      <c r="AD20" s="27"/>
      <c r="AF20" s="49"/>
      <c r="AG20" s="27"/>
    </row>
    <row r="21" spans="1:33" x14ac:dyDescent="0.15">
      <c r="B21" s="340"/>
      <c r="C21" s="68">
        <v>37012</v>
      </c>
      <c r="D21" s="24">
        <v>322.64349311980567</v>
      </c>
      <c r="E21" s="25"/>
      <c r="F21" s="26"/>
      <c r="G21" s="6"/>
      <c r="H21" s="49"/>
      <c r="I21" s="27"/>
      <c r="J21" s="6"/>
      <c r="K21" s="49"/>
      <c r="L21" s="27"/>
      <c r="M21" s="6"/>
      <c r="N21" s="49"/>
      <c r="O21" s="27"/>
      <c r="P21" s="6"/>
      <c r="Q21" s="49"/>
      <c r="R21" s="27"/>
      <c r="S21" s="6"/>
      <c r="T21" s="49"/>
      <c r="U21" s="27"/>
      <c r="V21" s="6"/>
      <c r="W21" s="49"/>
      <c r="X21" s="27"/>
      <c r="Z21" s="49"/>
      <c r="AA21" s="27"/>
      <c r="AC21" s="49"/>
      <c r="AD21" s="27"/>
      <c r="AF21" s="49"/>
      <c r="AG21" s="27"/>
    </row>
    <row r="22" spans="1:33" x14ac:dyDescent="0.15">
      <c r="B22" s="340"/>
      <c r="C22" s="68">
        <v>37043</v>
      </c>
      <c r="D22" s="24">
        <v>321.00300251983685</v>
      </c>
      <c r="E22" s="25">
        <f>AVERAGE(D10:D21)</f>
        <v>306.97734636595686</v>
      </c>
      <c r="F22" s="26"/>
      <c r="G22" s="6"/>
      <c r="H22" s="49"/>
      <c r="I22" s="27"/>
      <c r="J22" s="6"/>
      <c r="K22" s="49"/>
      <c r="L22" s="27"/>
      <c r="M22" s="6"/>
      <c r="N22" s="49"/>
      <c r="O22" s="27"/>
      <c r="P22" s="6"/>
      <c r="Q22" s="49"/>
      <c r="R22" s="27"/>
      <c r="S22" s="6"/>
      <c r="T22" s="49"/>
      <c r="U22" s="27"/>
      <c r="V22" s="6"/>
      <c r="W22" s="49"/>
      <c r="X22" s="27"/>
      <c r="Z22" s="49"/>
      <c r="AA22" s="27"/>
      <c r="AC22" s="49"/>
      <c r="AD22" s="27"/>
      <c r="AF22" s="49"/>
      <c r="AG22" s="27"/>
    </row>
    <row r="23" spans="1:33" x14ac:dyDescent="0.15">
      <c r="B23" s="340"/>
      <c r="C23" s="68">
        <v>37073</v>
      </c>
      <c r="D23" s="24">
        <v>321.04708576896479</v>
      </c>
      <c r="E23" s="25">
        <f t="shared" ref="E23:E30" si="0">AVERAGE(D11:D22)</f>
        <v>309.19603707987176</v>
      </c>
      <c r="F23" s="26">
        <f>(E23-E22)/E22</f>
        <v>7.2275389053299338E-3</v>
      </c>
      <c r="G23" s="6"/>
      <c r="H23" s="49"/>
      <c r="I23" s="27"/>
      <c r="J23" s="6"/>
      <c r="K23" s="49"/>
      <c r="L23" s="27"/>
      <c r="M23" s="6"/>
      <c r="N23" s="49"/>
      <c r="O23" s="27"/>
      <c r="P23" s="6"/>
      <c r="Q23" s="49"/>
      <c r="R23" s="27"/>
      <c r="S23" s="6"/>
      <c r="T23" s="49"/>
      <c r="U23" s="27"/>
      <c r="V23" s="6"/>
      <c r="W23" s="49"/>
      <c r="X23" s="27"/>
      <c r="Z23" s="49"/>
      <c r="AA23" s="27"/>
      <c r="AC23" s="49"/>
      <c r="AD23" s="27"/>
      <c r="AF23" s="49"/>
      <c r="AG23" s="27"/>
    </row>
    <row r="24" spans="1:33" x14ac:dyDescent="0.15">
      <c r="B24" s="340"/>
      <c r="C24" s="68">
        <v>37104</v>
      </c>
      <c r="D24" s="24">
        <v>321.51999355379235</v>
      </c>
      <c r="E24" s="25">
        <f t="shared" si="0"/>
        <v>311.18671772735314</v>
      </c>
      <c r="F24" s="26">
        <f t="shared" ref="F24:F87" si="1">(E24-E23)/E23</f>
        <v>6.4382476123623451E-3</v>
      </c>
      <c r="G24" s="6"/>
      <c r="H24" s="49"/>
      <c r="I24" s="27"/>
      <c r="J24" s="6"/>
      <c r="K24" s="49"/>
      <c r="L24" s="27"/>
      <c r="M24" s="6"/>
      <c r="N24" s="49"/>
      <c r="O24" s="27"/>
      <c r="P24" s="6"/>
      <c r="Q24" s="49"/>
      <c r="R24" s="27"/>
      <c r="S24" s="6"/>
      <c r="T24" s="49"/>
      <c r="U24" s="27"/>
      <c r="V24" s="6"/>
      <c r="W24" s="49"/>
      <c r="X24" s="27"/>
      <c r="Z24" s="49"/>
      <c r="AA24" s="27"/>
      <c r="AC24" s="49"/>
      <c r="AD24" s="27"/>
      <c r="AF24" s="49"/>
      <c r="AG24" s="27"/>
    </row>
    <row r="25" spans="1:33" x14ac:dyDescent="0.15">
      <c r="B25" s="340"/>
      <c r="C25" s="68">
        <v>37135</v>
      </c>
      <c r="D25" s="24">
        <v>323.24603618324772</v>
      </c>
      <c r="E25" s="25">
        <f t="shared" si="0"/>
        <v>313.02202998551252</v>
      </c>
      <c r="F25" s="26">
        <f t="shared" si="1"/>
        <v>5.8977846855513575E-3</v>
      </c>
      <c r="G25" s="6"/>
      <c r="H25" s="49"/>
      <c r="I25" s="27"/>
      <c r="J25" s="6"/>
      <c r="K25" s="49"/>
      <c r="L25" s="27"/>
      <c r="M25" s="6"/>
      <c r="N25" s="49"/>
      <c r="O25" s="27"/>
      <c r="P25" s="6"/>
      <c r="Q25" s="49"/>
      <c r="R25" s="27"/>
      <c r="S25" s="6"/>
      <c r="T25" s="49"/>
      <c r="U25" s="27"/>
      <c r="V25" s="6"/>
      <c r="W25" s="49"/>
      <c r="X25" s="27"/>
      <c r="Z25" s="49"/>
      <c r="AA25" s="27"/>
      <c r="AC25" s="49"/>
      <c r="AD25" s="27"/>
      <c r="AF25" s="49"/>
      <c r="AG25" s="27"/>
    </row>
    <row r="26" spans="1:33" x14ac:dyDescent="0.15">
      <c r="B26" s="340"/>
      <c r="C26" s="68">
        <v>37165</v>
      </c>
      <c r="D26" s="24">
        <v>321.63386953362118</v>
      </c>
      <c r="E26" s="25">
        <f t="shared" si="0"/>
        <v>314.92008205146027</v>
      </c>
      <c r="F26" s="26">
        <f t="shared" si="1"/>
        <v>6.0636373294096864E-3</v>
      </c>
      <c r="G26" s="6"/>
      <c r="H26" s="49"/>
      <c r="I26" s="27"/>
      <c r="J26" s="6"/>
      <c r="K26" s="49"/>
      <c r="L26" s="27"/>
      <c r="M26" s="6"/>
      <c r="N26" s="49"/>
      <c r="O26" s="27"/>
      <c r="P26" s="6"/>
      <c r="Q26" s="49"/>
      <c r="R26" s="27"/>
      <c r="S26" s="6"/>
      <c r="T26" s="49"/>
      <c r="U26" s="27"/>
      <c r="V26" s="6"/>
      <c r="W26" s="49"/>
      <c r="X26" s="27"/>
      <c r="Z26" s="49"/>
      <c r="AA26" s="27"/>
      <c r="AC26" s="49"/>
      <c r="AD26" s="27"/>
      <c r="AF26" s="49"/>
      <c r="AG26" s="27"/>
    </row>
    <row r="27" spans="1:33" x14ac:dyDescent="0.15">
      <c r="B27" s="340"/>
      <c r="C27" s="68">
        <v>37196</v>
      </c>
      <c r="D27" s="24">
        <v>321.43317813258994</v>
      </c>
      <c r="E27" s="25">
        <f t="shared" si="0"/>
        <v>316.91325414951802</v>
      </c>
      <c r="F27" s="26">
        <f t="shared" si="1"/>
        <v>6.3291362210811828E-3</v>
      </c>
      <c r="G27" s="6"/>
      <c r="H27" s="49"/>
      <c r="I27" s="27"/>
      <c r="J27" s="6"/>
      <c r="K27" s="49"/>
      <c r="L27" s="27"/>
      <c r="M27" s="6"/>
      <c r="N27" s="49"/>
      <c r="O27" s="27"/>
      <c r="P27" s="6"/>
      <c r="Q27" s="49"/>
      <c r="R27" s="27"/>
      <c r="S27" s="6"/>
      <c r="T27" s="49"/>
      <c r="U27" s="27"/>
      <c r="V27" s="6"/>
      <c r="W27" s="49"/>
      <c r="X27" s="27"/>
      <c r="Z27" s="49"/>
      <c r="AA27" s="27"/>
      <c r="AC27" s="49"/>
      <c r="AD27" s="27"/>
      <c r="AF27" s="49"/>
      <c r="AG27" s="27"/>
    </row>
    <row r="28" spans="1:33" ht="11.25" thickBot="1" x14ac:dyDescent="0.2">
      <c r="B28" s="345"/>
      <c r="C28" s="70">
        <v>37226</v>
      </c>
      <c r="D28" s="28">
        <v>320.80888832460539</v>
      </c>
      <c r="E28" s="36">
        <f t="shared" si="0"/>
        <v>318.81757737697848</v>
      </c>
      <c r="F28" s="37">
        <f t="shared" si="1"/>
        <v>6.008973126008804E-3</v>
      </c>
      <c r="G28" s="4"/>
      <c r="H28" s="53"/>
      <c r="I28" s="38"/>
      <c r="J28" s="4"/>
      <c r="K28" s="53"/>
      <c r="L28" s="38"/>
      <c r="M28" s="4"/>
      <c r="N28" s="53"/>
      <c r="O28" s="38"/>
      <c r="P28" s="4"/>
      <c r="Q28" s="53"/>
      <c r="R28" s="38"/>
      <c r="S28" s="4"/>
      <c r="T28" s="53"/>
      <c r="U28" s="38"/>
      <c r="V28" s="4"/>
      <c r="W28" s="53"/>
      <c r="X28" s="38"/>
      <c r="Z28" s="53"/>
      <c r="AA28" s="38"/>
      <c r="AC28" s="53"/>
      <c r="AD28" s="38"/>
      <c r="AF28" s="53"/>
      <c r="AG28" s="38"/>
    </row>
    <row r="29" spans="1:33" x14ac:dyDescent="0.15">
      <c r="B29" s="339">
        <v>2002</v>
      </c>
      <c r="C29" s="69">
        <v>37257</v>
      </c>
      <c r="D29" s="32">
        <v>327.24451691552645</v>
      </c>
      <c r="E29" s="39">
        <f>AVERAGE(D17:D28)</f>
        <v>320.37361768464297</v>
      </c>
      <c r="F29" s="22">
        <f>(E29-E28)/E28</f>
        <v>4.8806603464795319E-3</v>
      </c>
      <c r="G29" s="10"/>
      <c r="H29" s="81">
        <v>49.35</v>
      </c>
      <c r="I29" s="40">
        <f>(1+((E28-E22)/E22))*H29*0.98</f>
        <v>50.228378990224869</v>
      </c>
      <c r="J29" s="10"/>
      <c r="K29" s="81">
        <v>50.98</v>
      </c>
      <c r="L29" s="40">
        <f>(1+((E28-E22)/E22))*K29*0.98</f>
        <v>51.887391305403519</v>
      </c>
      <c r="M29" s="10"/>
      <c r="N29" s="81">
        <v>53.59</v>
      </c>
      <c r="O29" s="40">
        <f>(1+((E28-E22)/E22))*N29*0.98</f>
        <v>54.5438466076221</v>
      </c>
      <c r="P29" s="10"/>
      <c r="Q29" s="89">
        <v>11230000</v>
      </c>
      <c r="R29" s="57">
        <f>(1+((E28-E22)/E22))*Q29*0.98</f>
        <v>11429882.392304463</v>
      </c>
      <c r="S29" s="10"/>
      <c r="T29" s="89">
        <v>11540000</v>
      </c>
      <c r="U29" s="57">
        <f>(1+((E28-E22)/E22))*T29*0.98</f>
        <v>11745400.071878318</v>
      </c>
      <c r="V29" s="10"/>
      <c r="W29" s="89">
        <v>11960000</v>
      </c>
      <c r="X29" s="57">
        <f>(1+((E28-E22)/E22))*W29*0.98</f>
        <v>12172875.63775257</v>
      </c>
      <c r="Z29" s="81">
        <v>66.92</v>
      </c>
      <c r="AA29" s="40">
        <f>(1+((E28-E22)/E22))*Z29*0.98</f>
        <v>68.111106829297839</v>
      </c>
      <c r="AC29" s="89">
        <v>14700000</v>
      </c>
      <c r="AD29" s="57">
        <f>(1+((E28-E22)/E22))*AC29*0.98</f>
        <v>14961644.805598896</v>
      </c>
      <c r="AF29" s="81"/>
      <c r="AG29" s="40"/>
    </row>
    <row r="30" spans="1:33" x14ac:dyDescent="0.15">
      <c r="A30" s="9"/>
      <c r="B30" s="340"/>
      <c r="C30" s="68">
        <v>37288</v>
      </c>
      <c r="D30" s="24">
        <v>330.03107342324813</v>
      </c>
      <c r="E30" s="25">
        <f t="shared" si="0"/>
        <v>321.55945876897209</v>
      </c>
      <c r="F30" s="26">
        <f>(E30-E29)/E29</f>
        <v>3.7014317623881229E-3</v>
      </c>
      <c r="G30" s="8"/>
      <c r="H30" s="82"/>
      <c r="I30" s="41">
        <f t="shared" ref="I30:I40" si="2">I29*(1+F29)</f>
        <v>50.473526647830404</v>
      </c>
      <c r="J30" s="8"/>
      <c r="K30" s="82"/>
      <c r="L30" s="41">
        <f>L29*(1+F29)</f>
        <v>52.140636038630063</v>
      </c>
      <c r="M30" s="8"/>
      <c r="N30" s="82"/>
      <c r="O30" s="41">
        <f>O29*(1+F29)</f>
        <v>54.810056596904381</v>
      </c>
      <c r="P30" s="8"/>
      <c r="Q30" s="90"/>
      <c r="R30" s="61">
        <f>R29*(1+F29)</f>
        <v>11485667.766061507</v>
      </c>
      <c r="S30" s="8"/>
      <c r="T30" s="90"/>
      <c r="U30" s="61">
        <f>U29*(1+F29)</f>
        <v>11802725.380262671</v>
      </c>
      <c r="V30" s="8"/>
      <c r="W30" s="90"/>
      <c r="X30" s="61">
        <f>X29*(1+F29)</f>
        <v>12232287.309180375</v>
      </c>
      <c r="Z30" s="82"/>
      <c r="AA30" s="41">
        <f>AA29*(1+F29)</f>
        <v>68.443534007554419</v>
      </c>
      <c r="AC30" s="90"/>
      <c r="AD30" s="61">
        <f>AD29*(1+F29)</f>
        <v>15034667.512119694</v>
      </c>
      <c r="AF30" s="82"/>
      <c r="AG30" s="41"/>
    </row>
    <row r="31" spans="1:33" x14ac:dyDescent="0.15">
      <c r="A31" s="9"/>
      <c r="B31" s="340"/>
      <c r="C31" s="68">
        <v>37316</v>
      </c>
      <c r="D31" s="24">
        <v>327.96282369480491</v>
      </c>
      <c r="E31" s="25">
        <f t="shared" ref="E31:E85" si="3">AVERAGE(D19:D30)</f>
        <v>322.75141320207439</v>
      </c>
      <c r="F31" s="26">
        <f t="shared" si="1"/>
        <v>3.7067932557961819E-3</v>
      </c>
      <c r="G31" s="8"/>
      <c r="H31" s="82"/>
      <c r="I31" s="41">
        <f t="shared" si="2"/>
        <v>50.660350962524419</v>
      </c>
      <c r="J31" s="8"/>
      <c r="K31" s="82"/>
      <c r="L31" s="41">
        <f t="shared" ref="L31:L94" si="4">L30*(1+F30)</f>
        <v>52.33363104497456</v>
      </c>
      <c r="M31" s="8"/>
      <c r="N31" s="82"/>
      <c r="O31" s="41">
        <f t="shared" ref="O31:O94" si="5">O30*(1+F30)</f>
        <v>55.012932281290446</v>
      </c>
      <c r="P31" s="8"/>
      <c r="Q31" s="90"/>
      <c r="R31" s="61">
        <f t="shared" ref="R31:R94" si="6">R30*(1+F30)</f>
        <v>11528181.181543043</v>
      </c>
      <c r="S31" s="8"/>
      <c r="T31" s="90"/>
      <c r="U31" s="61">
        <f t="shared" ref="U31:U94" si="7">U30*(1+F30)</f>
        <v>11846412.362867918</v>
      </c>
      <c r="V31" s="8"/>
      <c r="W31" s="90"/>
      <c r="X31" s="61">
        <f t="shared" ref="X31:X94" si="8">X30*(1+F30)</f>
        <v>12277564.285953231</v>
      </c>
      <c r="Z31" s="82"/>
      <c r="AA31" s="41">
        <f t="shared" ref="AA31:AA94" si="9">AA30*(1+F30)</f>
        <v>68.696873078260069</v>
      </c>
      <c r="AC31" s="90"/>
      <c r="AD31" s="61">
        <f t="shared" ref="AD31:AD94" si="10">AD30*(1+F30)</f>
        <v>15090317.307985997</v>
      </c>
      <c r="AF31" s="82"/>
      <c r="AG31" s="41"/>
    </row>
    <row r="32" spans="1:33" x14ac:dyDescent="0.15">
      <c r="A32" s="9"/>
      <c r="B32" s="340"/>
      <c r="C32" s="68">
        <v>37347</v>
      </c>
      <c r="D32" s="24">
        <v>329.15038292097216</v>
      </c>
      <c r="E32" s="25">
        <f t="shared" si="3"/>
        <v>323.45733108493982</v>
      </c>
      <c r="F32" s="26">
        <f>(E32-E31)/E31</f>
        <v>2.1871875814946803E-3</v>
      </c>
      <c r="G32" s="8"/>
      <c r="H32" s="82"/>
      <c r="I32" s="41">
        <f t="shared" si="2"/>
        <v>50.84813840980857</v>
      </c>
      <c r="J32" s="8"/>
      <c r="K32" s="82"/>
      <c r="L32" s="41">
        <f t="shared" si="4"/>
        <v>52.527620995583398</v>
      </c>
      <c r="M32" s="8"/>
      <c r="N32" s="82"/>
      <c r="O32" s="41">
        <f t="shared" si="5"/>
        <v>55.216853847652303</v>
      </c>
      <c r="P32" s="8"/>
      <c r="Q32" s="90"/>
      <c r="R32" s="61">
        <f t="shared" si="6"/>
        <v>11570913.765798382</v>
      </c>
      <c r="S32" s="8"/>
      <c r="T32" s="90"/>
      <c r="U32" s="61">
        <f t="shared" si="7"/>
        <v>11890324.564319978</v>
      </c>
      <c r="V32" s="8"/>
      <c r="W32" s="90"/>
      <c r="X32" s="61">
        <f t="shared" si="8"/>
        <v>12323074.678446006</v>
      </c>
      <c r="Z32" s="82"/>
      <c r="AA32" s="41">
        <f t="shared" si="9"/>
        <v>68.951518184080854</v>
      </c>
      <c r="AC32" s="90"/>
      <c r="AD32" s="61">
        <f t="shared" si="10"/>
        <v>15146253.994411062</v>
      </c>
      <c r="AF32" s="95">
        <v>154.27000000000001</v>
      </c>
      <c r="AG32" s="41">
        <f>AF32</f>
        <v>154.27000000000001</v>
      </c>
    </row>
    <row r="33" spans="1:33" x14ac:dyDescent="0.15">
      <c r="A33" s="9"/>
      <c r="B33" s="340"/>
      <c r="C33" s="68">
        <v>37377</v>
      </c>
      <c r="D33" s="24">
        <v>332.40227012863846</v>
      </c>
      <c r="E33" s="25">
        <f t="shared" si="3"/>
        <v>323.97702867425124</v>
      </c>
      <c r="F33" s="26">
        <f t="shared" si="1"/>
        <v>1.606695966878387E-3</v>
      </c>
      <c r="G33" s="8"/>
      <c r="H33" s="82"/>
      <c r="I33" s="41">
        <f t="shared" si="2"/>
        <v>50.959352826680629</v>
      </c>
      <c r="J33" s="8"/>
      <c r="K33" s="82"/>
      <c r="L33" s="41">
        <f t="shared" si="4"/>
        <v>52.642508755910399</v>
      </c>
      <c r="M33" s="8"/>
      <c r="N33" s="82"/>
      <c r="O33" s="41">
        <f t="shared" si="5"/>
        <v>55.337623464677094</v>
      </c>
      <c r="P33" s="8"/>
      <c r="Q33" s="90"/>
      <c r="R33" s="61">
        <f t="shared" si="6"/>
        <v>11596221.524693483</v>
      </c>
      <c r="S33" s="8"/>
      <c r="T33" s="90"/>
      <c r="U33" s="61">
        <f t="shared" si="7"/>
        <v>11916330.934547</v>
      </c>
      <c r="V33" s="8"/>
      <c r="W33" s="90"/>
      <c r="X33" s="61">
        <f t="shared" si="8"/>
        <v>12350027.554348536</v>
      </c>
      <c r="Z33" s="82"/>
      <c r="AA33" s="41">
        <f t="shared" si="9"/>
        <v>69.102328088378286</v>
      </c>
      <c r="AC33" s="90"/>
      <c r="AD33" s="61">
        <f t="shared" si="10"/>
        <v>15179381.693053802</v>
      </c>
      <c r="AF33" s="82"/>
      <c r="AG33" s="41">
        <f>AG32*(1+F32)</f>
        <v>154.60741742819721</v>
      </c>
    </row>
    <row r="34" spans="1:33" x14ac:dyDescent="0.15">
      <c r="A34" s="9"/>
      <c r="B34" s="340"/>
      <c r="C34" s="68">
        <v>37408</v>
      </c>
      <c r="D34" s="24">
        <v>336.97607569959041</v>
      </c>
      <c r="E34" s="25">
        <f t="shared" si="3"/>
        <v>324.79026009165403</v>
      </c>
      <c r="F34" s="26">
        <f t="shared" si="1"/>
        <v>2.5101514781175069E-3</v>
      </c>
      <c r="G34" s="8"/>
      <c r="H34" s="82"/>
      <c r="I34" s="41">
        <f t="shared" si="2"/>
        <v>51.04122901334199</v>
      </c>
      <c r="J34" s="8"/>
      <c r="K34" s="82"/>
      <c r="L34" s="41">
        <f t="shared" si="4"/>
        <v>52.727089262414879</v>
      </c>
      <c r="M34" s="8"/>
      <c r="N34" s="82"/>
      <c r="O34" s="41">
        <f t="shared" si="5"/>
        <v>55.426534201114421</v>
      </c>
      <c r="P34" s="8"/>
      <c r="Q34" s="90"/>
      <c r="R34" s="61">
        <f t="shared" si="6"/>
        <v>11614853.127048237</v>
      </c>
      <c r="S34" s="8"/>
      <c r="T34" s="90"/>
      <c r="U34" s="61">
        <f t="shared" si="7"/>
        <v>11935476.855399525</v>
      </c>
      <c r="V34" s="8"/>
      <c r="W34" s="90"/>
      <c r="X34" s="61">
        <f t="shared" si="8"/>
        <v>12369870.293810945</v>
      </c>
      <c r="Z34" s="82"/>
      <c r="AA34" s="41">
        <f t="shared" si="9"/>
        <v>69.213354520219781</v>
      </c>
      <c r="AC34" s="90"/>
      <c r="AD34" s="61">
        <f t="shared" si="10"/>
        <v>15203770.344399739</v>
      </c>
      <c r="AF34" s="82"/>
      <c r="AG34" s="41">
        <f t="shared" ref="AG34:AG97" si="11">AG33*(1+F33)</f>
        <v>154.85582454222856</v>
      </c>
    </row>
    <row r="35" spans="1:33" x14ac:dyDescent="0.15">
      <c r="A35" s="9"/>
      <c r="B35" s="340"/>
      <c r="C35" s="68">
        <v>37438</v>
      </c>
      <c r="D35" s="24">
        <v>349.79341353040093</v>
      </c>
      <c r="E35" s="25">
        <f t="shared" si="3"/>
        <v>326.12134952330013</v>
      </c>
      <c r="F35" s="26">
        <f t="shared" si="1"/>
        <v>4.0983046451899931E-3</v>
      </c>
      <c r="G35" s="8"/>
      <c r="H35" s="82"/>
      <c r="I35" s="41">
        <f t="shared" si="2"/>
        <v>51.169350229794773</v>
      </c>
      <c r="J35" s="8"/>
      <c r="K35" s="82"/>
      <c r="L35" s="41">
        <f t="shared" si="4"/>
        <v>52.859442243463768</v>
      </c>
      <c r="M35" s="8"/>
      <c r="N35" s="82"/>
      <c r="O35" s="41">
        <f t="shared" si="5"/>
        <v>55.565663197866286</v>
      </c>
      <c r="P35" s="8"/>
      <c r="Q35" s="90"/>
      <c r="R35" s="61">
        <f t="shared" si="6"/>
        <v>11644008.167793216</v>
      </c>
      <c r="S35" s="8"/>
      <c r="T35" s="90"/>
      <c r="U35" s="61">
        <f t="shared" si="7"/>
        <v>11965436.710270144</v>
      </c>
      <c r="V35" s="8"/>
      <c r="W35" s="90"/>
      <c r="X35" s="61">
        <f t="shared" si="8"/>
        <v>12400920.542013077</v>
      </c>
      <c r="Z35" s="82"/>
      <c r="AA35" s="41">
        <f t="shared" si="9"/>
        <v>69.387090524374187</v>
      </c>
      <c r="AC35" s="90"/>
      <c r="AD35" s="61">
        <f t="shared" si="10"/>
        <v>15241934.111002695</v>
      </c>
      <c r="AF35" s="82"/>
      <c r="AG35" s="41">
        <f t="shared" si="11"/>
        <v>155.24453611909837</v>
      </c>
    </row>
    <row r="36" spans="1:33" x14ac:dyDescent="0.15">
      <c r="A36" s="9"/>
      <c r="B36" s="340"/>
      <c r="C36" s="68">
        <v>37469</v>
      </c>
      <c r="D36" s="24">
        <v>355.14644176364226</v>
      </c>
      <c r="E36" s="25">
        <f t="shared" si="3"/>
        <v>328.51687683675317</v>
      </c>
      <c r="F36" s="26">
        <f t="shared" si="1"/>
        <v>7.345509016673234E-3</v>
      </c>
      <c r="G36" s="8"/>
      <c r="H36" s="82"/>
      <c r="I36" s="41">
        <f t="shared" si="2"/>
        <v>51.379057815532889</v>
      </c>
      <c r="J36" s="8"/>
      <c r="K36" s="82"/>
      <c r="L36" s="41">
        <f t="shared" si="4"/>
        <v>53.076076341152302</v>
      </c>
      <c r="M36" s="8"/>
      <c r="N36" s="82"/>
      <c r="O36" s="41">
        <f t="shared" si="5"/>
        <v>55.79338821346316</v>
      </c>
      <c r="P36" s="8"/>
      <c r="Q36" s="90"/>
      <c r="R36" s="61">
        <f t="shared" si="6"/>
        <v>11691728.860555911</v>
      </c>
      <c r="S36" s="8"/>
      <c r="T36" s="90"/>
      <c r="U36" s="61">
        <f t="shared" si="7"/>
        <v>12014474.715121569</v>
      </c>
      <c r="V36" s="8"/>
      <c r="W36" s="90"/>
      <c r="X36" s="61">
        <f t="shared" si="8"/>
        <v>12451743.292275039</v>
      </c>
      <c r="Z36" s="82"/>
      <c r="AA36" s="41">
        <f t="shared" si="9"/>
        <v>69.671459959786446</v>
      </c>
      <c r="AC36" s="90"/>
      <c r="AD36" s="61">
        <f t="shared" si="10"/>
        <v>15304400.200371496</v>
      </c>
      <c r="AF36" s="82"/>
      <c r="AG36" s="41">
        <f t="shared" si="11"/>
        <v>155.88077552261564</v>
      </c>
    </row>
    <row r="37" spans="1:33" x14ac:dyDescent="0.15">
      <c r="A37" s="9"/>
      <c r="B37" s="340"/>
      <c r="C37" s="68">
        <v>37500</v>
      </c>
      <c r="D37" s="24">
        <v>363.61133403798635</v>
      </c>
      <c r="E37" s="25">
        <f t="shared" si="3"/>
        <v>331.31908085424067</v>
      </c>
      <c r="F37" s="26">
        <f t="shared" si="1"/>
        <v>8.5298631975001104E-3</v>
      </c>
      <c r="G37" s="8"/>
      <c r="H37" s="82"/>
      <c r="I37" s="41">
        <f t="shared" si="2"/>
        <v>51.756463147985059</v>
      </c>
      <c r="J37" s="8"/>
      <c r="K37" s="82"/>
      <c r="L37" s="41">
        <f t="shared" si="4"/>
        <v>53.465947138485873</v>
      </c>
      <c r="M37" s="8"/>
      <c r="N37" s="82"/>
      <c r="O37" s="41">
        <f t="shared" si="5"/>
        <v>56.2032190496559</v>
      </c>
      <c r="P37" s="8"/>
      <c r="Q37" s="90"/>
      <c r="R37" s="61">
        <f t="shared" si="6"/>
        <v>11777610.560321623</v>
      </c>
      <c r="S37" s="8"/>
      <c r="T37" s="90"/>
      <c r="U37" s="61">
        <f t="shared" si="7"/>
        <v>12102727.147472087</v>
      </c>
      <c r="V37" s="8"/>
      <c r="W37" s="90"/>
      <c r="X37" s="61">
        <f t="shared" si="8"/>
        <v>12543207.684901746</v>
      </c>
      <c r="Z37" s="82"/>
      <c r="AA37" s="41">
        <f t="shared" si="9"/>
        <v>70.183232297125841</v>
      </c>
      <c r="AC37" s="90"/>
      <c r="AD37" s="61">
        <f t="shared" si="10"/>
        <v>15416818.810038101</v>
      </c>
      <c r="AF37" s="82"/>
      <c r="AG37" s="41">
        <f t="shared" si="11"/>
        <v>157.02579916474301</v>
      </c>
    </row>
    <row r="38" spans="1:33" x14ac:dyDescent="0.15">
      <c r="A38" s="9"/>
      <c r="B38" s="340"/>
      <c r="C38" s="68">
        <v>37530</v>
      </c>
      <c r="D38" s="24">
        <v>362.86611003479692</v>
      </c>
      <c r="E38" s="25">
        <f t="shared" si="3"/>
        <v>334.68285567546883</v>
      </c>
      <c r="F38" s="26">
        <f t="shared" si="1"/>
        <v>1.0152674613714776E-2</v>
      </c>
      <c r="G38" s="8"/>
      <c r="H38" s="82"/>
      <c r="I38" s="41">
        <f t="shared" si="2"/>
        <v>52.19793869822383</v>
      </c>
      <c r="J38" s="8"/>
      <c r="K38" s="82"/>
      <c r="L38" s="41">
        <f t="shared" si="4"/>
        <v>53.922004353301929</v>
      </c>
      <c r="M38" s="8"/>
      <c r="N38" s="82"/>
      <c r="O38" s="41">
        <f t="shared" si="5"/>
        <v>56.682624819408602</v>
      </c>
      <c r="P38" s="8"/>
      <c r="Q38" s="90"/>
      <c r="R38" s="61">
        <f t="shared" si="6"/>
        <v>11878071.9671946</v>
      </c>
      <c r="S38" s="8"/>
      <c r="T38" s="90"/>
      <c r="U38" s="61">
        <f t="shared" si="7"/>
        <v>12205961.754356695</v>
      </c>
      <c r="V38" s="8"/>
      <c r="W38" s="90"/>
      <c r="X38" s="61">
        <f t="shared" si="8"/>
        <v>12650199.530511791</v>
      </c>
      <c r="Z38" s="82"/>
      <c r="AA38" s="41">
        <f t="shared" si="9"/>
        <v>70.781885667378702</v>
      </c>
      <c r="AC38" s="90"/>
      <c r="AD38" s="61">
        <f t="shared" si="10"/>
        <v>15548322.165428374</v>
      </c>
      <c r="AF38" s="82"/>
      <c r="AG38" s="41">
        <f t="shared" si="11"/>
        <v>158.3652077500964</v>
      </c>
    </row>
    <row r="39" spans="1:33" x14ac:dyDescent="0.15">
      <c r="A39" s="9"/>
      <c r="B39" s="340"/>
      <c r="C39" s="68">
        <v>37561</v>
      </c>
      <c r="D39" s="24">
        <v>363.3086926675835</v>
      </c>
      <c r="E39" s="25">
        <f t="shared" si="3"/>
        <v>338.11887571723344</v>
      </c>
      <c r="F39" s="26">
        <f t="shared" si="1"/>
        <v>1.0266495530014255E-2</v>
      </c>
      <c r="G39" s="8"/>
      <c r="H39" s="82"/>
      <c r="I39" s="41">
        <f t="shared" si="2"/>
        <v>52.727887385333531</v>
      </c>
      <c r="J39" s="8"/>
      <c r="K39" s="82"/>
      <c r="L39" s="41">
        <f t="shared" si="4"/>
        <v>54.46945691802032</v>
      </c>
      <c r="M39" s="8"/>
      <c r="N39" s="82"/>
      <c r="O39" s="41">
        <f t="shared" si="5"/>
        <v>57.258105065451332</v>
      </c>
      <c r="P39" s="8"/>
      <c r="Q39" s="90"/>
      <c r="R39" s="61">
        <f t="shared" si="6"/>
        <v>11998666.166915815</v>
      </c>
      <c r="S39" s="8"/>
      <c r="T39" s="90"/>
      <c r="U39" s="61">
        <f t="shared" si="7"/>
        <v>12329884.912396127</v>
      </c>
      <c r="V39" s="8"/>
      <c r="W39" s="90"/>
      <c r="X39" s="61">
        <f t="shared" si="8"/>
        <v>12778632.890143646</v>
      </c>
      <c r="Z39" s="82"/>
      <c r="AA39" s="41">
        <f t="shared" si="9"/>
        <v>71.500511121104765</v>
      </c>
      <c r="AC39" s="90"/>
      <c r="AD39" s="61">
        <f t="shared" si="10"/>
        <v>15706179.221163178</v>
      </c>
      <c r="AF39" s="82"/>
      <c r="AG39" s="41">
        <f t="shared" si="11"/>
        <v>159.97303817451649</v>
      </c>
    </row>
    <row r="40" spans="1:33" ht="11.25" thickBot="1" x14ac:dyDescent="0.2">
      <c r="A40" s="9"/>
      <c r="B40" s="341"/>
      <c r="C40" s="70">
        <v>37591</v>
      </c>
      <c r="D40" s="28">
        <v>367.92334075154042</v>
      </c>
      <c r="E40" s="29">
        <f t="shared" si="3"/>
        <v>341.60850192848301</v>
      </c>
      <c r="F40" s="30">
        <f t="shared" si="1"/>
        <v>1.0320708075960607E-2</v>
      </c>
      <c r="G40" s="8"/>
      <c r="H40" s="83"/>
      <c r="I40" s="42">
        <f t="shared" si="2"/>
        <v>53.269218005482152</v>
      </c>
      <c r="J40" s="8"/>
      <c r="K40" s="83"/>
      <c r="L40" s="42">
        <f t="shared" si="4"/>
        <v>55.02866735399148</v>
      </c>
      <c r="M40" s="8"/>
      <c r="N40" s="83"/>
      <c r="O40" s="42">
        <f t="shared" si="5"/>
        <v>57.845945145162872</v>
      </c>
      <c r="P40" s="8"/>
      <c r="Q40" s="91"/>
      <c r="R40" s="62">
        <f t="shared" si="6"/>
        <v>12121850.419484589</v>
      </c>
      <c r="S40" s="8"/>
      <c r="T40" s="91"/>
      <c r="U40" s="62">
        <f t="shared" si="7"/>
        <v>12456469.620734831</v>
      </c>
      <c r="V40" s="8"/>
      <c r="W40" s="91"/>
      <c r="X40" s="62">
        <f t="shared" si="8"/>
        <v>12909824.667589998</v>
      </c>
      <c r="Z40" s="83"/>
      <c r="AA40" s="42">
        <f t="shared" si="9"/>
        <v>72.234570798923315</v>
      </c>
      <c r="AC40" s="91"/>
      <c r="AD40" s="62">
        <f t="shared" si="10"/>
        <v>15867426.639930852</v>
      </c>
      <c r="AF40" s="83"/>
      <c r="AG40" s="42">
        <f t="shared" si="11"/>
        <v>161.61540065585797</v>
      </c>
    </row>
    <row r="41" spans="1:33" x14ac:dyDescent="0.15">
      <c r="B41" s="344">
        <v>2003</v>
      </c>
      <c r="C41" s="69">
        <v>37622</v>
      </c>
      <c r="D41" s="32">
        <v>380.10978582739523</v>
      </c>
      <c r="E41" s="43">
        <f>AVERAGE(D29:D40)</f>
        <v>345.53470629739422</v>
      </c>
      <c r="F41" s="34">
        <f t="shared" si="1"/>
        <v>1.1493286457294263E-2</v>
      </c>
      <c r="G41" s="12"/>
      <c r="H41" s="81">
        <v>43.26</v>
      </c>
      <c r="I41" s="44">
        <f>(1+((E40-E22)/E22))*H41*0.98</f>
        <v>47.177501170697852</v>
      </c>
      <c r="J41" s="12"/>
      <c r="K41" s="81">
        <v>46.5</v>
      </c>
      <c r="L41" s="44">
        <f>(1+((E40-E22)/E22))*K41*0.98</f>
        <v>50.710906251443596</v>
      </c>
      <c r="M41" s="12"/>
      <c r="N41" s="81">
        <v>51.73</v>
      </c>
      <c r="O41" s="44">
        <f>(1+((E40-E22)/E22))*N41*0.98</f>
        <v>56.414520008326392</v>
      </c>
      <c r="P41" s="12"/>
      <c r="Q41" s="89">
        <v>9920000</v>
      </c>
      <c r="R41" s="63">
        <f>(1+((E40-E22)/E22))*Q41*0.98</f>
        <v>10818326.666974636</v>
      </c>
      <c r="S41" s="12"/>
      <c r="T41" s="89">
        <v>10760000</v>
      </c>
      <c r="U41" s="63">
        <f>(1+((E40-E22)/E22))*T41*0.98</f>
        <v>11734394.650871681</v>
      </c>
      <c r="V41" s="12"/>
      <c r="W41" s="89">
        <v>11960000</v>
      </c>
      <c r="X41" s="63">
        <f>(1+((E40-E22)/E22))*W41*0.98</f>
        <v>13043063.199296033</v>
      </c>
      <c r="Z41" s="81">
        <v>97.49</v>
      </c>
      <c r="AA41" s="44">
        <f>(1+((E40-E22)/E22))*Z41*0.98</f>
        <v>106.31841398824164</v>
      </c>
      <c r="AC41" s="89">
        <v>22180000</v>
      </c>
      <c r="AD41" s="63">
        <f>(1+((E40-E22)/E22))*AC41*0.98</f>
        <v>24188557.003376752</v>
      </c>
      <c r="AF41" s="81"/>
      <c r="AG41" s="44">
        <f>AG40*(1+F40)*0.98</f>
        <v>160.01771830607439</v>
      </c>
    </row>
    <row r="42" spans="1:33" x14ac:dyDescent="0.15">
      <c r="B42" s="340"/>
      <c r="C42" s="68">
        <v>37653</v>
      </c>
      <c r="D42" s="24">
        <v>383.14393601208286</v>
      </c>
      <c r="E42" s="25">
        <f t="shared" si="3"/>
        <v>349.9401453733833</v>
      </c>
      <c r="F42" s="26">
        <f t="shared" si="1"/>
        <v>1.274962831721284E-2</v>
      </c>
      <c r="H42" s="82"/>
      <c r="I42" s="41">
        <f t="shared" ref="I42:I52" si="12">I41*(1+F41)</f>
        <v>47.719725705992019</v>
      </c>
      <c r="K42" s="82"/>
      <c r="L42" s="41">
        <f t="shared" si="4"/>
        <v>51.293741223500433</v>
      </c>
      <c r="N42" s="82"/>
      <c r="O42" s="41">
        <f t="shared" si="5"/>
        <v>57.062908247132846</v>
      </c>
      <c r="Q42" s="90"/>
      <c r="R42" s="61">
        <f t="shared" si="6"/>
        <v>10942664.794346761</v>
      </c>
      <c r="T42" s="90"/>
      <c r="U42" s="61">
        <f t="shared" si="7"/>
        <v>11869261.409997091</v>
      </c>
      <c r="W42" s="90"/>
      <c r="X42" s="61">
        <f t="shared" si="8"/>
        <v>13192970.860926136</v>
      </c>
      <c r="Z42" s="82"/>
      <c r="AA42" s="41">
        <f t="shared" si="9"/>
        <v>107.54036197589372</v>
      </c>
      <c r="AC42" s="90"/>
      <c r="AD42" s="61">
        <f t="shared" si="10"/>
        <v>24466563.018005155</v>
      </c>
      <c r="AF42" s="82"/>
      <c r="AG42" s="41">
        <f t="shared" si="11"/>
        <v>161.85684778080872</v>
      </c>
    </row>
    <row r="43" spans="1:33" x14ac:dyDescent="0.15">
      <c r="B43" s="340"/>
      <c r="C43" s="68">
        <v>37681</v>
      </c>
      <c r="D43" s="24">
        <v>384.40588119389673</v>
      </c>
      <c r="E43" s="25">
        <f t="shared" si="3"/>
        <v>354.36621725578624</v>
      </c>
      <c r="F43" s="26">
        <f t="shared" si="1"/>
        <v>1.2648082653335913E-2</v>
      </c>
      <c r="H43" s="82"/>
      <c r="I43" s="41">
        <f t="shared" si="12"/>
        <v>48.328134472142764</v>
      </c>
      <c r="K43" s="82"/>
      <c r="L43" s="41">
        <f t="shared" si="4"/>
        <v>51.947717359099364</v>
      </c>
      <c r="N43" s="82"/>
      <c r="O43" s="41">
        <f t="shared" si="5"/>
        <v>57.790439117983006</v>
      </c>
      <c r="Q43" s="90"/>
      <c r="R43" s="61">
        <f t="shared" si="6"/>
        <v>11082179.703274533</v>
      </c>
      <c r="T43" s="90"/>
      <c r="U43" s="61">
        <f t="shared" si="7"/>
        <v>12020590.081374392</v>
      </c>
      <c r="W43" s="90"/>
      <c r="X43" s="61">
        <f t="shared" si="8"/>
        <v>13361176.335802764</v>
      </c>
      <c r="Z43" s="82"/>
      <c r="AA43" s="41">
        <f t="shared" si="9"/>
        <v>108.91146162018489</v>
      </c>
      <c r="AC43" s="90"/>
      <c r="AD43" s="61">
        <f t="shared" si="10"/>
        <v>24778502.602684386</v>
      </c>
      <c r="AF43" s="82"/>
      <c r="AG43" s="41">
        <f t="shared" si="11"/>
        <v>163.92046243060972</v>
      </c>
    </row>
    <row r="44" spans="1:33" x14ac:dyDescent="0.15">
      <c r="B44" s="340"/>
      <c r="C44" s="68">
        <v>37712</v>
      </c>
      <c r="D44" s="24">
        <v>382.24490043118635</v>
      </c>
      <c r="E44" s="25">
        <f t="shared" si="3"/>
        <v>359.06980538071048</v>
      </c>
      <c r="F44" s="26">
        <f t="shared" si="1"/>
        <v>1.327324077715096E-2</v>
      </c>
      <c r="H44" s="82"/>
      <c r="I44" s="41">
        <f t="shared" si="12"/>
        <v>48.939392711427963</v>
      </c>
      <c r="K44" s="82"/>
      <c r="L44" s="41">
        <f t="shared" si="4"/>
        <v>52.60475638190939</v>
      </c>
      <c r="N44" s="82"/>
      <c r="O44" s="41">
        <f t="shared" si="5"/>
        <v>58.521377368519836</v>
      </c>
      <c r="Q44" s="90"/>
      <c r="R44" s="61">
        <f t="shared" si="6"/>
        <v>11222348.028140672</v>
      </c>
      <c r="T44" s="90"/>
      <c r="U44" s="61">
        <f t="shared" si="7"/>
        <v>12172627.498265486</v>
      </c>
      <c r="W44" s="90"/>
      <c r="X44" s="61">
        <f t="shared" si="8"/>
        <v>13530169.598443793</v>
      </c>
      <c r="Z44" s="82"/>
      <c r="AA44" s="41">
        <f t="shared" si="9"/>
        <v>110.28898278865262</v>
      </c>
      <c r="AC44" s="90"/>
      <c r="AD44" s="61">
        <f t="shared" si="10"/>
        <v>25091903.151629038</v>
      </c>
      <c r="AF44" s="82"/>
      <c r="AG44" s="41">
        <f t="shared" si="11"/>
        <v>165.99374198800513</v>
      </c>
    </row>
    <row r="45" spans="1:33" x14ac:dyDescent="0.15">
      <c r="B45" s="340"/>
      <c r="C45" s="68">
        <v>37742</v>
      </c>
      <c r="D45" s="24">
        <v>380.55966400033924</v>
      </c>
      <c r="E45" s="25">
        <f t="shared" si="3"/>
        <v>363.49434850656172</v>
      </c>
      <c r="F45" s="26">
        <f t="shared" si="1"/>
        <v>1.2322236678074448E-2</v>
      </c>
      <c r="H45" s="82"/>
      <c r="I45" s="41">
        <f t="shared" si="12"/>
        <v>49.588977054374297</v>
      </c>
      <c r="K45" s="82"/>
      <c r="L45" s="41">
        <f t="shared" si="4"/>
        <v>53.302991979389844</v>
      </c>
      <c r="N45" s="82"/>
      <c r="O45" s="41">
        <f t="shared" si="5"/>
        <v>59.298145700942712</v>
      </c>
      <c r="Q45" s="90"/>
      <c r="R45" s="61">
        <f t="shared" si="6"/>
        <v>11371304.955603167</v>
      </c>
      <c r="T45" s="90"/>
      <c r="U45" s="61">
        <f t="shared" si="7"/>
        <v>12334197.713940533</v>
      </c>
      <c r="W45" s="90"/>
      <c r="X45" s="61">
        <f t="shared" si="8"/>
        <v>13709758.797279626</v>
      </c>
      <c r="Z45" s="82"/>
      <c r="AA45" s="41">
        <f t="shared" si="9"/>
        <v>111.75287501227346</v>
      </c>
      <c r="AC45" s="90"/>
      <c r="AD45" s="61">
        <f t="shared" si="10"/>
        <v>25424954.023717564</v>
      </c>
      <c r="AF45" s="82"/>
      <c r="AG45" s="41">
        <f t="shared" si="11"/>
        <v>168.19701689291219</v>
      </c>
    </row>
    <row r="46" spans="1:33" x14ac:dyDescent="0.15">
      <c r="B46" s="340"/>
      <c r="C46" s="68">
        <v>37773</v>
      </c>
      <c r="D46" s="24">
        <v>378.62007787484049</v>
      </c>
      <c r="E46" s="25">
        <f t="shared" si="3"/>
        <v>367.50746466253685</v>
      </c>
      <c r="F46" s="26">
        <f t="shared" si="1"/>
        <v>1.1040381157130101E-2</v>
      </c>
      <c r="H46" s="82"/>
      <c r="I46" s="41">
        <f t="shared" si="12"/>
        <v>50.200024166261898</v>
      </c>
      <c r="K46" s="82"/>
      <c r="L46" s="41">
        <f t="shared" si="4"/>
        <v>53.959804062209386</v>
      </c>
      <c r="N46" s="82"/>
      <c r="O46" s="41">
        <f t="shared" si="5"/>
        <v>60.028831486840666</v>
      </c>
      <c r="Q46" s="90"/>
      <c r="R46" s="61">
        <f t="shared" si="6"/>
        <v>11511424.866604671</v>
      </c>
      <c r="T46" s="90"/>
      <c r="U46" s="61">
        <f t="shared" si="7"/>
        <v>12486182.617405873</v>
      </c>
      <c r="W46" s="90"/>
      <c r="X46" s="61">
        <f t="shared" si="8"/>
        <v>13878693.689979019</v>
      </c>
      <c r="Z46" s="82"/>
      <c r="AA46" s="41">
        <f t="shared" si="9"/>
        <v>113.12992038762997</v>
      </c>
      <c r="AC46" s="90"/>
      <c r="AD46" s="61">
        <f t="shared" si="10"/>
        <v>25738246.324726973</v>
      </c>
      <c r="AF46" s="82"/>
      <c r="AG46" s="41">
        <f t="shared" si="11"/>
        <v>170.26958034361274</v>
      </c>
    </row>
    <row r="47" spans="1:33" x14ac:dyDescent="0.15">
      <c r="B47" s="340"/>
      <c r="C47" s="68">
        <v>37803</v>
      </c>
      <c r="D47" s="24">
        <v>382.08779973197608</v>
      </c>
      <c r="E47" s="25">
        <f t="shared" si="3"/>
        <v>370.97779817714087</v>
      </c>
      <c r="F47" s="26">
        <f t="shared" si="1"/>
        <v>9.4428925893808718E-3</v>
      </c>
      <c r="H47" s="82"/>
      <c r="I47" s="41">
        <f t="shared" si="12"/>
        <v>50.754251567154569</v>
      </c>
      <c r="K47" s="82"/>
      <c r="L47" s="41">
        <f t="shared" si="4"/>
        <v>54.555540866220234</v>
      </c>
      <c r="N47" s="82"/>
      <c r="O47" s="41">
        <f t="shared" si="5"/>
        <v>60.691572666872517</v>
      </c>
      <c r="Q47" s="90"/>
      <c r="R47" s="61">
        <f t="shared" si="6"/>
        <v>11638515.38479365</v>
      </c>
      <c r="T47" s="90"/>
      <c r="U47" s="61">
        <f t="shared" si="7"/>
        <v>12624034.832699565</v>
      </c>
      <c r="W47" s="90"/>
      <c r="X47" s="61">
        <f t="shared" si="8"/>
        <v>14031919.758279443</v>
      </c>
      <c r="Z47" s="82"/>
      <c r="AA47" s="41">
        <f t="shared" si="9"/>
        <v>114.37891782898518</v>
      </c>
      <c r="AC47" s="90"/>
      <c r="AD47" s="61">
        <f t="shared" si="10"/>
        <v>26022406.374468058</v>
      </c>
      <c r="AF47" s="82"/>
      <c r="AG47" s="41">
        <f t="shared" si="11"/>
        <v>172.1494214100708</v>
      </c>
    </row>
    <row r="48" spans="1:33" x14ac:dyDescent="0.15">
      <c r="B48" s="340"/>
      <c r="C48" s="68">
        <v>37834</v>
      </c>
      <c r="D48" s="24">
        <v>379.88938391393305</v>
      </c>
      <c r="E48" s="25">
        <f t="shared" si="3"/>
        <v>373.66899702727216</v>
      </c>
      <c r="F48" s="26">
        <f t="shared" si="1"/>
        <v>7.2543393792160208E-3</v>
      </c>
      <c r="H48" s="82"/>
      <c r="I48" s="41">
        <f t="shared" si="12"/>
        <v>51.23351851315762</v>
      </c>
      <c r="K48" s="82"/>
      <c r="L48" s="41">
        <f t="shared" si="4"/>
        <v>55.070702978775529</v>
      </c>
      <c r="N48" s="82"/>
      <c r="O48" s="41">
        <f t="shared" si="5"/>
        <v>61.264676668646395</v>
      </c>
      <c r="Q48" s="90"/>
      <c r="R48" s="61">
        <f t="shared" si="6"/>
        <v>11748416.635472113</v>
      </c>
      <c r="T48" s="90"/>
      <c r="U48" s="61">
        <f t="shared" si="7"/>
        <v>12743242.237669349</v>
      </c>
      <c r="W48" s="90"/>
      <c r="X48" s="61">
        <f t="shared" si="8"/>
        <v>14164421.669379685</v>
      </c>
      <c r="Z48" s="82"/>
      <c r="AA48" s="41">
        <f t="shared" si="9"/>
        <v>115.4589856645339</v>
      </c>
      <c r="AC48" s="90"/>
      <c r="AD48" s="61">
        <f t="shared" si="10"/>
        <v>26268133.16277938</v>
      </c>
      <c r="AF48" s="82"/>
      <c r="AG48" s="41">
        <f t="shared" si="11"/>
        <v>173.77500990577016</v>
      </c>
    </row>
    <row r="49" spans="2:33" x14ac:dyDescent="0.15">
      <c r="B49" s="340"/>
      <c r="C49" s="68">
        <v>37865</v>
      </c>
      <c r="D49" s="24">
        <v>382.70505083517361</v>
      </c>
      <c r="E49" s="25">
        <f t="shared" si="3"/>
        <v>375.73090887312969</v>
      </c>
      <c r="F49" s="26">
        <f t="shared" si="1"/>
        <v>5.5180169140632476E-3</v>
      </c>
      <c r="H49" s="82"/>
      <c r="I49" s="41">
        <f t="shared" si="12"/>
        <v>51.60518384404341</v>
      </c>
      <c r="K49" s="82"/>
      <c r="L49" s="41">
        <f t="shared" si="4"/>
        <v>55.470204548035568</v>
      </c>
      <c r="N49" s="82"/>
      <c r="O49" s="41">
        <f t="shared" si="5"/>
        <v>61.709111425158689</v>
      </c>
      <c r="Q49" s="90"/>
      <c r="R49" s="61">
        <f t="shared" si="6"/>
        <v>11833643.636914255</v>
      </c>
      <c r="T49" s="90"/>
      <c r="U49" s="61">
        <f t="shared" si="7"/>
        <v>12835686.041652961</v>
      </c>
      <c r="W49" s="90"/>
      <c r="X49" s="61">
        <f t="shared" si="8"/>
        <v>14267175.191279685</v>
      </c>
      <c r="Z49" s="82"/>
      <c r="AA49" s="41">
        <f t="shared" si="9"/>
        <v>116.29656433092445</v>
      </c>
      <c r="AC49" s="90"/>
      <c r="AD49" s="61">
        <f t="shared" si="10"/>
        <v>26458691.115600619</v>
      </c>
      <c r="AF49" s="82"/>
      <c r="AG49" s="41">
        <f t="shared" si="11"/>
        <v>175.03563280325324</v>
      </c>
    </row>
    <row r="50" spans="2:33" x14ac:dyDescent="0.15">
      <c r="B50" s="340"/>
      <c r="C50" s="68">
        <v>37895</v>
      </c>
      <c r="D50" s="24">
        <v>382.64100727249064</v>
      </c>
      <c r="E50" s="25">
        <f t="shared" si="3"/>
        <v>377.32205193956207</v>
      </c>
      <c r="F50" s="26">
        <f t="shared" si="1"/>
        <v>4.2347941807727345E-3</v>
      </c>
      <c r="H50" s="82"/>
      <c r="I50" s="41">
        <f t="shared" si="12"/>
        <v>51.889942121348177</v>
      </c>
      <c r="K50" s="82"/>
      <c r="L50" s="41">
        <f t="shared" si="4"/>
        <v>55.776290074958169</v>
      </c>
      <c r="N50" s="82"/>
      <c r="O50" s="41">
        <f t="shared" si="5"/>
        <v>62.049623345754526</v>
      </c>
      <c r="Q50" s="90"/>
      <c r="R50" s="61">
        <f t="shared" si="6"/>
        <v>11898941.882657744</v>
      </c>
      <c r="T50" s="90"/>
      <c r="U50" s="61">
        <f t="shared" si="7"/>
        <v>12906513.574334407</v>
      </c>
      <c r="W50" s="90"/>
      <c r="X50" s="61">
        <f t="shared" si="8"/>
        <v>14345901.705301069</v>
      </c>
      <c r="Z50" s="82"/>
      <c r="AA50" s="41">
        <f t="shared" si="9"/>
        <v>116.93829073994993</v>
      </c>
      <c r="AC50" s="90"/>
      <c r="AD50" s="61">
        <f t="shared" si="10"/>
        <v>26604690.620700475</v>
      </c>
      <c r="AF50" s="82"/>
      <c r="AG50" s="41">
        <f t="shared" si="11"/>
        <v>176.00148238562534</v>
      </c>
    </row>
    <row r="51" spans="2:33" x14ac:dyDescent="0.15">
      <c r="B51" s="340"/>
      <c r="C51" s="68">
        <v>37926</v>
      </c>
      <c r="D51" s="24">
        <v>380.86231790561442</v>
      </c>
      <c r="E51" s="25">
        <f t="shared" si="3"/>
        <v>378.96996004270318</v>
      </c>
      <c r="F51" s="26">
        <f t="shared" si="1"/>
        <v>4.3673781976704103E-3</v>
      </c>
      <c r="H51" s="82"/>
      <c r="I51" s="41">
        <f t="shared" si="12"/>
        <v>52.109685346284301</v>
      </c>
      <c r="K51" s="82"/>
      <c r="L51" s="41">
        <f t="shared" si="4"/>
        <v>56.012491183592694</v>
      </c>
      <c r="N51" s="82"/>
      <c r="O51" s="41">
        <f t="shared" si="5"/>
        <v>62.312390729618272</v>
      </c>
      <c r="Q51" s="90"/>
      <c r="R51" s="61">
        <f t="shared" si="6"/>
        <v>11949331.452499777</v>
      </c>
      <c r="T51" s="90"/>
      <c r="U51" s="61">
        <f t="shared" si="7"/>
        <v>12961170.002913063</v>
      </c>
      <c r="W51" s="90"/>
      <c r="X51" s="61">
        <f t="shared" si="8"/>
        <v>14406653.646360615</v>
      </c>
      <c r="Z51" s="82"/>
      <c r="AA51" s="41">
        <f t="shared" si="9"/>
        <v>117.43350033308499</v>
      </c>
      <c r="AC51" s="90"/>
      <c r="AD51" s="61">
        <f t="shared" si="10"/>
        <v>26717356.009722278</v>
      </c>
      <c r="AF51" s="82"/>
      <c r="AG51" s="41">
        <f t="shared" si="11"/>
        <v>176.74681243903936</v>
      </c>
    </row>
    <row r="52" spans="2:33" ht="11.25" thickBot="1" x14ac:dyDescent="0.2">
      <c r="B52" s="345"/>
      <c r="C52" s="70">
        <v>37956</v>
      </c>
      <c r="D52" s="28">
        <v>378.30726224729835</v>
      </c>
      <c r="E52" s="36">
        <f t="shared" si="3"/>
        <v>380.4327621458724</v>
      </c>
      <c r="F52" s="37">
        <f t="shared" si="1"/>
        <v>3.8599420993800995E-3</v>
      </c>
      <c r="H52" s="84"/>
      <c r="I52" s="45">
        <f t="shared" si="12"/>
        <v>52.337268049953124</v>
      </c>
      <c r="K52" s="84"/>
      <c r="L52" s="45">
        <f t="shared" si="4"/>
        <v>56.257118916385117</v>
      </c>
      <c r="N52" s="84"/>
      <c r="O52" s="45">
        <f t="shared" si="5"/>
        <v>62.58453250633552</v>
      </c>
      <c r="Q52" s="92"/>
      <c r="R52" s="64">
        <f t="shared" si="6"/>
        <v>12001518.702162161</v>
      </c>
      <c r="T52" s="92"/>
      <c r="U52" s="64">
        <f t="shared" si="7"/>
        <v>13017776.334200084</v>
      </c>
      <c r="W52" s="92"/>
      <c r="X52" s="64">
        <f t="shared" si="8"/>
        <v>14469572.951397117</v>
      </c>
      <c r="Z52" s="84"/>
      <c r="AA52" s="45">
        <f t="shared" si="9"/>
        <v>117.94637684211581</v>
      </c>
      <c r="AC52" s="92"/>
      <c r="AD52" s="64">
        <f t="shared" si="10"/>
        <v>26834040.807858534</v>
      </c>
      <c r="AF52" s="84"/>
      <c r="AG52" s="45">
        <f t="shared" si="11"/>
        <v>177.51873261419334</v>
      </c>
    </row>
    <row r="53" spans="2:33" x14ac:dyDescent="0.15">
      <c r="B53" s="339">
        <v>2004</v>
      </c>
      <c r="C53" s="69">
        <v>37987</v>
      </c>
      <c r="D53" s="32">
        <v>385.649020893949</v>
      </c>
      <c r="E53" s="39">
        <f t="shared" si="3"/>
        <v>381.29808893718558</v>
      </c>
      <c r="F53" s="22">
        <f t="shared" si="1"/>
        <v>2.2745853601887755E-3</v>
      </c>
      <c r="G53" s="12"/>
      <c r="H53" s="81">
        <v>37.159999999999997</v>
      </c>
      <c r="I53" s="40">
        <f>(1+((E52-E22)/E22))*H53*0.98</f>
        <v>45.13083449486161</v>
      </c>
      <c r="J53" s="12"/>
      <c r="K53" s="81">
        <v>42.03</v>
      </c>
      <c r="L53" s="40">
        <f>(1+((E52-E22)/E22))*K53*0.98</f>
        <v>51.045451394484218</v>
      </c>
      <c r="M53" s="12"/>
      <c r="N53" s="81">
        <v>49.87</v>
      </c>
      <c r="O53" s="40">
        <f>(1+((E52-E22)/E22))*N53*0.98</f>
        <v>60.567134452603561</v>
      </c>
      <c r="P53" s="12"/>
      <c r="Q53" s="89">
        <v>8760000</v>
      </c>
      <c r="R53" s="57">
        <f>(1+((E52-E22)/E22))*Q53*0.98</f>
        <v>10639023.416980295</v>
      </c>
      <c r="S53" s="12"/>
      <c r="T53" s="89">
        <v>10030000</v>
      </c>
      <c r="U53" s="57">
        <f>(1+((E52-E22)/E22))*T53*0.98</f>
        <v>12181438.912364423</v>
      </c>
      <c r="V53" s="12"/>
      <c r="W53" s="89">
        <v>11960000</v>
      </c>
      <c r="X53" s="57">
        <f>(1+((E52-E22)/E22))*W53*0.98</f>
        <v>14525424.665192273</v>
      </c>
      <c r="Z53" s="81">
        <v>142.02000000000001</v>
      </c>
      <c r="AA53" s="40">
        <f>(1+((E52-E22)/E22))*Z53*0.98</f>
        <v>172.4833453972079</v>
      </c>
      <c r="AC53" s="89">
        <v>33480000</v>
      </c>
      <c r="AD53" s="57">
        <f>(1+((E52-E22)/E22))*AC53*0.98</f>
        <v>40661473.059417836</v>
      </c>
      <c r="AF53" s="81"/>
      <c r="AG53" s="40">
        <f>AG52*(1+F52)*0.98</f>
        <v>174.63986575076666</v>
      </c>
    </row>
    <row r="54" spans="2:33" x14ac:dyDescent="0.15">
      <c r="B54" s="340"/>
      <c r="C54" s="68">
        <v>38018</v>
      </c>
      <c r="D54" s="24">
        <v>383.62579026927932</v>
      </c>
      <c r="E54" s="25">
        <f t="shared" si="3"/>
        <v>381.7596918593984</v>
      </c>
      <c r="F54" s="26">
        <f t="shared" si="1"/>
        <v>1.2106090631072183E-3</v>
      </c>
      <c r="H54" s="82"/>
      <c r="I54" s="41">
        <f t="shared" ref="I54:I64" si="13">I53*(1+F53)</f>
        <v>45.233488430296731</v>
      </c>
      <c r="K54" s="82"/>
      <c r="L54" s="41">
        <f t="shared" si="4"/>
        <v>51.161558630930344</v>
      </c>
      <c r="N54" s="82"/>
      <c r="O54" s="41">
        <f t="shared" si="5"/>
        <v>60.704899569938043</v>
      </c>
      <c r="Q54" s="90"/>
      <c r="R54" s="61">
        <f t="shared" si="6"/>
        <v>10663222.783891264</v>
      </c>
      <c r="T54" s="90"/>
      <c r="U54" s="61">
        <f t="shared" si="7"/>
        <v>12209146.634980522</v>
      </c>
      <c r="W54" s="90"/>
      <c r="X54" s="61">
        <f t="shared" si="8"/>
        <v>14558463.983486244</v>
      </c>
      <c r="Z54" s="82"/>
      <c r="AA54" s="41">
        <f t="shared" si="9"/>
        <v>172.87567348952479</v>
      </c>
      <c r="AC54" s="90"/>
      <c r="AD54" s="61">
        <f t="shared" si="10"/>
        <v>40753961.050762504</v>
      </c>
      <c r="AF54" s="82"/>
      <c r="AG54" s="41">
        <f t="shared" si="11"/>
        <v>175.03709903270871</v>
      </c>
    </row>
    <row r="55" spans="2:33" x14ac:dyDescent="0.15">
      <c r="B55" s="340"/>
      <c r="C55" s="68">
        <v>38047</v>
      </c>
      <c r="D55" s="24">
        <v>384.15570054556821</v>
      </c>
      <c r="E55" s="25">
        <f t="shared" si="3"/>
        <v>381.79984638083147</v>
      </c>
      <c r="F55" s="26">
        <f t="shared" si="1"/>
        <v>1.0518271648190559E-4</v>
      </c>
      <c r="H55" s="82"/>
      <c r="I55" s="41">
        <f t="shared" si="13"/>
        <v>45.288248501346402</v>
      </c>
      <c r="K55" s="82"/>
      <c r="L55" s="41">
        <f t="shared" si="4"/>
        <v>51.223495277491637</v>
      </c>
      <c r="N55" s="82"/>
      <c r="O55" s="41">
        <f t="shared" si="5"/>
        <v>60.778389471532421</v>
      </c>
      <c r="Q55" s="90"/>
      <c r="R55" s="61">
        <f t="shared" si="6"/>
        <v>10676131.778035374</v>
      </c>
      <c r="T55" s="90"/>
      <c r="U55" s="61">
        <f t="shared" si="7"/>
        <v>12223927.138549635</v>
      </c>
      <c r="W55" s="90"/>
      <c r="X55" s="61">
        <f t="shared" si="8"/>
        <v>14576088.591929574</v>
      </c>
      <c r="Z55" s="82"/>
      <c r="AA55" s="41">
        <f t="shared" si="9"/>
        <v>173.08495834664197</v>
      </c>
      <c r="AC55" s="90"/>
      <c r="AD55" s="61">
        <f t="shared" si="10"/>
        <v>40803298.165368073</v>
      </c>
      <c r="AF55" s="82"/>
      <c r="AG55" s="41">
        <f t="shared" si="11"/>
        <v>175.2490005311777</v>
      </c>
    </row>
    <row r="56" spans="2:33" x14ac:dyDescent="0.15">
      <c r="B56" s="340"/>
      <c r="C56" s="68">
        <v>38078</v>
      </c>
      <c r="D56" s="24">
        <v>383.26981773624431</v>
      </c>
      <c r="E56" s="25">
        <f t="shared" si="3"/>
        <v>381.77899799347068</v>
      </c>
      <c r="F56" s="26">
        <f t="shared" si="1"/>
        <v>-5.4605541511901458E-5</v>
      </c>
      <c r="H56" s="82"/>
      <c r="I56" s="41">
        <f t="shared" si="13"/>
        <v>45.293012042348487</v>
      </c>
      <c r="K56" s="82"/>
      <c r="L56" s="41">
        <f t="shared" si="4"/>
        <v>51.228883103872626</v>
      </c>
      <c r="N56" s="82"/>
      <c r="O56" s="41">
        <f t="shared" si="5"/>
        <v>60.784782307640434</v>
      </c>
      <c r="Q56" s="90"/>
      <c r="R56" s="61">
        <f t="shared" si="6"/>
        <v>10677254.722577307</v>
      </c>
      <c r="T56" s="90"/>
      <c r="U56" s="61">
        <f t="shared" si="7"/>
        <v>12225212.884412145</v>
      </c>
      <c r="W56" s="90"/>
      <c r="X56" s="61">
        <f t="shared" si="8"/>
        <v>14577621.744523354</v>
      </c>
      <c r="Z56" s="82"/>
      <c r="AA56" s="41">
        <f t="shared" si="9"/>
        <v>173.10316389274303</v>
      </c>
      <c r="AC56" s="90"/>
      <c r="AD56" s="61">
        <f t="shared" si="10"/>
        <v>40807589.96711053</v>
      </c>
      <c r="AF56" s="82"/>
      <c r="AG56" s="41">
        <f t="shared" si="11"/>
        <v>175.26743369711431</v>
      </c>
    </row>
    <row r="57" spans="2:33" x14ac:dyDescent="0.15">
      <c r="B57" s="340"/>
      <c r="C57" s="68">
        <v>38108</v>
      </c>
      <c r="D57" s="24">
        <v>389.01459875720496</v>
      </c>
      <c r="E57" s="25">
        <f t="shared" si="3"/>
        <v>381.86440776889225</v>
      </c>
      <c r="F57" s="26">
        <f t="shared" si="1"/>
        <v>2.2371522758050707E-4</v>
      </c>
      <c r="H57" s="82"/>
      <c r="I57" s="41">
        <f t="shared" si="13"/>
        <v>45.290538792899206</v>
      </c>
      <c r="K57" s="82"/>
      <c r="L57" s="41">
        <f t="shared" si="4"/>
        <v>51.226085722969685</v>
      </c>
      <c r="N57" s="82"/>
      <c r="O57" s="41">
        <f t="shared" si="5"/>
        <v>60.781463121686841</v>
      </c>
      <c r="Q57" s="90"/>
      <c r="R57" s="61">
        <f t="shared" si="6"/>
        <v>10676671.685301321</v>
      </c>
      <c r="T57" s="90"/>
      <c r="U57" s="61">
        <f t="shared" si="7"/>
        <v>12224545.320042493</v>
      </c>
      <c r="W57" s="90"/>
      <c r="X57" s="61">
        <f t="shared" si="8"/>
        <v>14576825.725594038</v>
      </c>
      <c r="Z57" s="82"/>
      <c r="AA57" s="41">
        <f t="shared" si="9"/>
        <v>173.09371150074122</v>
      </c>
      <c r="AC57" s="90"/>
      <c r="AD57" s="61">
        <f t="shared" si="10"/>
        <v>40805361.646562576</v>
      </c>
      <c r="AF57" s="82"/>
      <c r="AG57" s="41">
        <f t="shared" si="11"/>
        <v>175.25786312398787</v>
      </c>
    </row>
    <row r="58" spans="2:33" x14ac:dyDescent="0.15">
      <c r="B58" s="340"/>
      <c r="C58" s="68">
        <v>38139</v>
      </c>
      <c r="D58" s="24">
        <v>387.78577028089387</v>
      </c>
      <c r="E58" s="25">
        <f t="shared" si="3"/>
        <v>382.5689856652977</v>
      </c>
      <c r="F58" s="26">
        <f t="shared" si="1"/>
        <v>1.8450996795487426E-3</v>
      </c>
      <c r="H58" s="82"/>
      <c r="I58" s="41">
        <f t="shared" si="13"/>
        <v>45.300670976092505</v>
      </c>
      <c r="K58" s="82"/>
      <c r="L58" s="41">
        <f t="shared" si="4"/>
        <v>51.237545778395258</v>
      </c>
      <c r="N58" s="82"/>
      <c r="O58" s="41">
        <f t="shared" si="5"/>
        <v>60.795060860541788</v>
      </c>
      <c r="Q58" s="90"/>
      <c r="R58" s="61">
        <f t="shared" si="6"/>
        <v>10679060.219337201</v>
      </c>
      <c r="T58" s="90"/>
      <c r="U58" s="61">
        <f t="shared" si="7"/>
        <v>12227280.136980835</v>
      </c>
      <c r="W58" s="90"/>
      <c r="X58" s="61">
        <f t="shared" si="8"/>
        <v>14580086.783478642</v>
      </c>
      <c r="Z58" s="82"/>
      <c r="AA58" s="41">
        <f t="shared" si="9"/>
        <v>173.13243519980239</v>
      </c>
      <c r="AC58" s="90"/>
      <c r="AD58" s="61">
        <f t="shared" si="10"/>
        <v>40814490.427329846</v>
      </c>
      <c r="AF58" s="82"/>
      <c r="AG58" s="41">
        <f t="shared" si="11"/>
        <v>175.29707097672195</v>
      </c>
    </row>
    <row r="59" spans="2:33" x14ac:dyDescent="0.15">
      <c r="B59" s="340"/>
      <c r="C59" s="68">
        <v>38169</v>
      </c>
      <c r="D59" s="24">
        <v>382.79632391078178</v>
      </c>
      <c r="E59" s="25">
        <f t="shared" si="3"/>
        <v>383.33279336580222</v>
      </c>
      <c r="F59" s="26">
        <f t="shared" si="1"/>
        <v>1.9965227949051666E-3</v>
      </c>
      <c r="H59" s="82"/>
      <c r="I59" s="41">
        <f t="shared" si="13"/>
        <v>45.384255229593833</v>
      </c>
      <c r="K59" s="82"/>
      <c r="L59" s="41">
        <f t="shared" si="4"/>
        <v>51.332084157691838</v>
      </c>
      <c r="N59" s="82"/>
      <c r="O59" s="41">
        <f t="shared" si="5"/>
        <v>60.907233807853721</v>
      </c>
      <c r="Q59" s="90"/>
      <c r="R59" s="61">
        <f t="shared" si="6"/>
        <v>10698764.149925781</v>
      </c>
      <c r="T59" s="90"/>
      <c r="U59" s="61">
        <f t="shared" si="7"/>
        <v>12249840.687643331</v>
      </c>
      <c r="W59" s="90"/>
      <c r="X59" s="61">
        <f t="shared" si="8"/>
        <v>14606988.496930631</v>
      </c>
      <c r="Z59" s="82"/>
      <c r="AA59" s="41">
        <f t="shared" si="9"/>
        <v>173.45188180050903</v>
      </c>
      <c r="AC59" s="90"/>
      <c r="AD59" s="61">
        <f t="shared" si="10"/>
        <v>40889797.230538256</v>
      </c>
      <c r="AF59" s="82"/>
      <c r="AG59" s="41">
        <f t="shared" si="11"/>
        <v>175.62051154620693</v>
      </c>
    </row>
    <row r="60" spans="2:33" x14ac:dyDescent="0.15">
      <c r="B60" s="340"/>
      <c r="C60" s="68">
        <v>38200</v>
      </c>
      <c r="D60" s="24">
        <v>379.46282258660057</v>
      </c>
      <c r="E60" s="25">
        <f t="shared" si="3"/>
        <v>383.39183704736934</v>
      </c>
      <c r="F60" s="26">
        <f t="shared" si="1"/>
        <v>1.5402721235690045E-4</v>
      </c>
      <c r="H60" s="82"/>
      <c r="I60" s="41">
        <f t="shared" si="13"/>
        <v>45.474865929689514</v>
      </c>
      <c r="K60" s="82"/>
      <c r="L60" s="41">
        <f t="shared" si="4"/>
        <v>51.434569833822664</v>
      </c>
      <c r="N60" s="82"/>
      <c r="O60" s="41">
        <f t="shared" si="5"/>
        <v>61.028836488525727</v>
      </c>
      <c r="Q60" s="90"/>
      <c r="R60" s="61">
        <f t="shared" si="6"/>
        <v>10720124.476428423</v>
      </c>
      <c r="T60" s="90"/>
      <c r="U60" s="61">
        <f t="shared" si="7"/>
        <v>12274297.773810169</v>
      </c>
      <c r="W60" s="90"/>
      <c r="X60" s="61">
        <f t="shared" si="8"/>
        <v>14636151.682429671</v>
      </c>
      <c r="Z60" s="82"/>
      <c r="AA60" s="41">
        <f t="shared" si="9"/>
        <v>173.79818243634296</v>
      </c>
      <c r="AC60" s="90"/>
      <c r="AD60" s="61">
        <f t="shared" si="10"/>
        <v>40971434.642788082</v>
      </c>
      <c r="AF60" s="82"/>
      <c r="AG60" s="41">
        <f t="shared" si="11"/>
        <v>175.97114190076186</v>
      </c>
    </row>
    <row r="61" spans="2:33" x14ac:dyDescent="0.15">
      <c r="B61" s="340"/>
      <c r="C61" s="68">
        <v>38231</v>
      </c>
      <c r="D61" s="24">
        <v>382.30736042938463</v>
      </c>
      <c r="E61" s="25">
        <f t="shared" si="3"/>
        <v>383.35629027009162</v>
      </c>
      <c r="F61" s="26">
        <f t="shared" si="1"/>
        <v>-9.2716573079577917E-5</v>
      </c>
      <c r="H61" s="82"/>
      <c r="I61" s="41">
        <f t="shared" si="13"/>
        <v>45.481870296520967</v>
      </c>
      <c r="K61" s="82"/>
      <c r="L61" s="41">
        <f t="shared" si="4"/>
        <v>51.442492157232941</v>
      </c>
      <c r="N61" s="82"/>
      <c r="O61" s="41">
        <f t="shared" si="5"/>
        <v>61.038236590083436</v>
      </c>
      <c r="Q61" s="90"/>
      <c r="R61" s="61">
        <f t="shared" si="6"/>
        <v>10721775.667317646</v>
      </c>
      <c r="T61" s="90"/>
      <c r="U61" s="61">
        <f t="shared" si="7"/>
        <v>12276188.349679906</v>
      </c>
      <c r="W61" s="90"/>
      <c r="X61" s="61">
        <f t="shared" si="8"/>
        <v>14638406.048072947</v>
      </c>
      <c r="Z61" s="82"/>
      <c r="AA61" s="41">
        <f t="shared" si="9"/>
        <v>173.82495208589631</v>
      </c>
      <c r="AC61" s="90"/>
      <c r="AD61" s="61">
        <f t="shared" si="10"/>
        <v>40977745.358652368</v>
      </c>
      <c r="AF61" s="82"/>
      <c r="AG61" s="41">
        <f t="shared" si="11"/>
        <v>175.99824624520409</v>
      </c>
    </row>
    <row r="62" spans="2:33" x14ac:dyDescent="0.15">
      <c r="B62" s="340"/>
      <c r="C62" s="68">
        <v>38261</v>
      </c>
      <c r="D62" s="24">
        <v>381.46854361482451</v>
      </c>
      <c r="E62" s="25">
        <f t="shared" si="3"/>
        <v>383.32314940294253</v>
      </c>
      <c r="F62" s="26">
        <f t="shared" si="1"/>
        <v>-8.6449258797180665E-5</v>
      </c>
      <c r="H62" s="82"/>
      <c r="I62" s="41">
        <f t="shared" si="13"/>
        <v>45.477653373369819</v>
      </c>
      <c r="K62" s="82"/>
      <c r="L62" s="41">
        <f t="shared" si="4"/>
        <v>51.437722585649446</v>
      </c>
      <c r="N62" s="82"/>
      <c r="O62" s="41">
        <f t="shared" si="5"/>
        <v>61.032577333959978</v>
      </c>
      <c r="Q62" s="90"/>
      <c r="R62" s="61">
        <f t="shared" si="6"/>
        <v>10720781.581020443</v>
      </c>
      <c r="T62" s="90"/>
      <c r="U62" s="61">
        <f t="shared" si="7"/>
        <v>12275050.143565644</v>
      </c>
      <c r="W62" s="90"/>
      <c r="X62" s="61">
        <f t="shared" si="8"/>
        <v>14637048.825228821</v>
      </c>
      <c r="Z62" s="82"/>
      <c r="AA62" s="41">
        <f t="shared" si="9"/>
        <v>173.80883563202318</v>
      </c>
      <c r="AC62" s="90"/>
      <c r="AD62" s="61">
        <f t="shared" si="10"/>
        <v>40973946.042530186</v>
      </c>
      <c r="AF62" s="82"/>
      <c r="AG62" s="41">
        <f t="shared" si="11"/>
        <v>175.98192829094421</v>
      </c>
    </row>
    <row r="63" spans="2:33" x14ac:dyDescent="0.15">
      <c r="B63" s="340"/>
      <c r="C63" s="68">
        <v>38292</v>
      </c>
      <c r="D63" s="24">
        <v>376.25235363302392</v>
      </c>
      <c r="E63" s="25">
        <f t="shared" si="3"/>
        <v>383.22544409813696</v>
      </c>
      <c r="F63" s="26">
        <f t="shared" si="1"/>
        <v>-2.5489017545054702E-4</v>
      </c>
      <c r="H63" s="82"/>
      <c r="I63" s="41">
        <f t="shared" si="13"/>
        <v>45.473721863943858</v>
      </c>
      <c r="K63" s="82"/>
      <c r="L63" s="41">
        <f t="shared" si="4"/>
        <v>51.433275832657699</v>
      </c>
      <c r="N63" s="82"/>
      <c r="O63" s="41">
        <f t="shared" si="5"/>
        <v>61.027301112886974</v>
      </c>
      <c r="Q63" s="90"/>
      <c r="R63" s="61">
        <f t="shared" si="6"/>
        <v>10719854.777399037</v>
      </c>
      <c r="T63" s="90"/>
      <c r="U63" s="61">
        <f t="shared" si="7"/>
        <v>12273988.974579034</v>
      </c>
      <c r="W63" s="90"/>
      <c r="X63" s="61">
        <f t="shared" si="8"/>
        <v>14635783.463206902</v>
      </c>
      <c r="Z63" s="82"/>
      <c r="AA63" s="41">
        <f t="shared" si="9"/>
        <v>173.79380998701038</v>
      </c>
      <c r="AC63" s="90"/>
      <c r="AD63" s="61">
        <f t="shared" si="10"/>
        <v>40970403.875264816</v>
      </c>
      <c r="AF63" s="82"/>
      <c r="AG63" s="41">
        <f t="shared" si="11"/>
        <v>175.96671478368177</v>
      </c>
    </row>
    <row r="64" spans="2:33" ht="11.25" thickBot="1" x14ac:dyDescent="0.2">
      <c r="B64" s="341"/>
      <c r="C64" s="70">
        <v>38322</v>
      </c>
      <c r="D64" s="28">
        <v>370.50710889674519</v>
      </c>
      <c r="E64" s="29">
        <f t="shared" si="3"/>
        <v>382.84128040875436</v>
      </c>
      <c r="F64" s="30">
        <f t="shared" si="1"/>
        <v>-1.0024482854646421E-3</v>
      </c>
      <c r="H64" s="83"/>
      <c r="I64" s="42">
        <f t="shared" si="13"/>
        <v>45.462131058999567</v>
      </c>
      <c r="K64" s="83"/>
      <c r="L64" s="42">
        <f t="shared" si="4"/>
        <v>51.420165995956715</v>
      </c>
      <c r="N64" s="83"/>
      <c r="O64" s="42">
        <f t="shared" si="5"/>
        <v>61.011745853399034</v>
      </c>
      <c r="Q64" s="91"/>
      <c r="R64" s="62">
        <f t="shared" si="6"/>
        <v>10717122.391734021</v>
      </c>
      <c r="T64" s="91"/>
      <c r="U64" s="62">
        <f t="shared" si="7"/>
        <v>12270860.455375826</v>
      </c>
      <c r="W64" s="91"/>
      <c r="X64" s="62">
        <f t="shared" si="8"/>
        <v>14632052.945792109</v>
      </c>
      <c r="Z64" s="83"/>
      <c r="AA64" s="42">
        <f t="shared" si="9"/>
        <v>173.74951165229058</v>
      </c>
      <c r="AC64" s="91"/>
      <c r="AD64" s="62">
        <f t="shared" si="10"/>
        <v>40959960.92183277</v>
      </c>
      <c r="AF64" s="83"/>
      <c r="AG64" s="42">
        <f t="shared" si="11"/>
        <v>175.92186259687711</v>
      </c>
    </row>
    <row r="65" spans="2:33" x14ac:dyDescent="0.15">
      <c r="B65" s="344">
        <v>2005</v>
      </c>
      <c r="C65" s="69">
        <v>38353</v>
      </c>
      <c r="D65" s="32">
        <v>376.95693766100294</v>
      </c>
      <c r="E65" s="43">
        <f>AVERAGE(D53:D64)</f>
        <v>382.19126762954164</v>
      </c>
      <c r="F65" s="34">
        <f>(E65-E64)/E64</f>
        <v>-1.6978649181162131E-3</v>
      </c>
      <c r="G65" s="12"/>
      <c r="H65" s="81">
        <v>31.07</v>
      </c>
      <c r="I65" s="44">
        <f>(1+((E64-E22)/E22))*H65*0.98</f>
        <v>37.973424256385883</v>
      </c>
      <c r="J65" s="12"/>
      <c r="K65" s="81">
        <v>37.56</v>
      </c>
      <c r="L65" s="44">
        <f>(1+((E64-E22)/E22))*K65*0.98</f>
        <v>45.905433378495452</v>
      </c>
      <c r="M65" s="12"/>
      <c r="N65" s="81">
        <v>48.01</v>
      </c>
      <c r="O65" s="44">
        <f>(1+((E64-E22)/E22))*N65*0.98</f>
        <v>58.677312473417643</v>
      </c>
      <c r="P65" s="12"/>
      <c r="Q65" s="89">
        <v>7740000</v>
      </c>
      <c r="R65" s="63">
        <f>(1+((E64-E22)/E22))*Q65*0.98</f>
        <v>9459745.8559519388</v>
      </c>
      <c r="S65" s="12"/>
      <c r="T65" s="89">
        <v>9350000</v>
      </c>
      <c r="U65" s="63">
        <f>(1+((E64-E22)/E22))*T65*0.98</f>
        <v>11427470.769140908</v>
      </c>
      <c r="V65" s="12"/>
      <c r="W65" s="89">
        <v>11960000</v>
      </c>
      <c r="X65" s="63">
        <f>(1+((E64-E22)/E22))*W65*0.98</f>
        <v>14617385.069403771</v>
      </c>
      <c r="Z65" s="81">
        <v>206.9</v>
      </c>
      <c r="AA65" s="44">
        <f>(1+((E64-E22)/E22))*Z65*0.98</f>
        <v>252.87098418558867</v>
      </c>
      <c r="AC65" s="89">
        <v>50520000</v>
      </c>
      <c r="AD65" s="63">
        <f>(1+((E64-E22)/E22))*AC65*0.98</f>
        <v>61745007.834973119</v>
      </c>
      <c r="AF65" s="81"/>
      <c r="AG65" s="44">
        <f>AG64*(1+F64)*0.98</f>
        <v>172.23059982679428</v>
      </c>
    </row>
    <row r="66" spans="2:33" x14ac:dyDescent="0.15">
      <c r="B66" s="340"/>
      <c r="C66" s="68">
        <v>38384</v>
      </c>
      <c r="D66" s="24">
        <v>375.31128834801348</v>
      </c>
      <c r="E66" s="25">
        <f t="shared" si="3"/>
        <v>381.46692736012955</v>
      </c>
      <c r="F66" s="26">
        <f t="shared" si="1"/>
        <v>-1.8952297730522709E-3</v>
      </c>
      <c r="H66" s="82"/>
      <c r="I66" s="41">
        <f t="shared" ref="I66:I76" si="14">I65*(1+F65)</f>
        <v>37.908950511520224</v>
      </c>
      <c r="K66" s="82"/>
      <c r="L66" s="41">
        <f t="shared" si="4"/>
        <v>45.827492153611182</v>
      </c>
      <c r="N66" s="82"/>
      <c r="O66" s="41">
        <f t="shared" si="5"/>
        <v>58.577686323079689</v>
      </c>
      <c r="Q66" s="90"/>
      <c r="R66" s="61">
        <f t="shared" si="6"/>
        <v>9443684.4853288233</v>
      </c>
      <c r="T66" s="90"/>
      <c r="U66" s="61">
        <f t="shared" si="7"/>
        <v>11408068.467419187</v>
      </c>
      <c r="W66" s="90"/>
      <c r="X66" s="61">
        <f t="shared" si="8"/>
        <v>14592566.724099835</v>
      </c>
      <c r="Z66" s="82"/>
      <c r="AA66" s="41">
        <f t="shared" si="9"/>
        <v>252.44164341273046</v>
      </c>
      <c r="AC66" s="90"/>
      <c r="AD66" s="61">
        <f t="shared" si="10"/>
        <v>61640173.152301311</v>
      </c>
      <c r="AF66" s="82"/>
      <c r="AG66" s="41">
        <f t="shared" si="11"/>
        <v>171.93817553352224</v>
      </c>
    </row>
    <row r="67" spans="2:33" x14ac:dyDescent="0.15">
      <c r="B67" s="340"/>
      <c r="C67" s="68">
        <v>38412</v>
      </c>
      <c r="D67" s="24">
        <v>379.99705067116747</v>
      </c>
      <c r="E67" s="25">
        <f t="shared" si="3"/>
        <v>380.77405220002402</v>
      </c>
      <c r="F67" s="26">
        <f t="shared" si="1"/>
        <v>-1.8163439879321714E-3</v>
      </c>
      <c r="H67" s="82"/>
      <c r="I67" s="41">
        <f t="shared" si="14"/>
        <v>37.837104339845631</v>
      </c>
      <c r="K67" s="82"/>
      <c r="L67" s="41">
        <f t="shared" si="4"/>
        <v>45.740638526057339</v>
      </c>
      <c r="N67" s="82"/>
      <c r="O67" s="41">
        <f t="shared" si="5"/>
        <v>58.466668147923677</v>
      </c>
      <c r="Q67" s="90"/>
      <c r="R67" s="61">
        <f t="shared" si="6"/>
        <v>9425786.5333249159</v>
      </c>
      <c r="T67" s="90"/>
      <c r="U67" s="61">
        <f t="shared" si="7"/>
        <v>11386447.556406716</v>
      </c>
      <c r="W67" s="90"/>
      <c r="X67" s="61">
        <f t="shared" si="8"/>
        <v>14564910.45717907</v>
      </c>
      <c r="Z67" s="82"/>
      <c r="AA67" s="41">
        <f t="shared" si="9"/>
        <v>251.96320849417643</v>
      </c>
      <c r="AC67" s="90"/>
      <c r="AD67" s="61">
        <f t="shared" si="10"/>
        <v>61523350.860926978</v>
      </c>
      <c r="AF67" s="82"/>
      <c r="AG67" s="41">
        <f t="shared" si="11"/>
        <v>171.61231318412683</v>
      </c>
    </row>
    <row r="68" spans="2:33" x14ac:dyDescent="0.15">
      <c r="B68" s="340"/>
      <c r="C68" s="68">
        <v>38443</v>
      </c>
      <c r="D68" s="24">
        <v>378.16117956506736</v>
      </c>
      <c r="E68" s="25">
        <f t="shared" si="3"/>
        <v>380.42749804382402</v>
      </c>
      <c r="F68" s="26">
        <f t="shared" si="1"/>
        <v>-9.1013070401643823E-4</v>
      </c>
      <c r="H68" s="82"/>
      <c r="I68" s="41">
        <f t="shared" si="14"/>
        <v>37.768379142857192</v>
      </c>
      <c r="K68" s="82"/>
      <c r="L68" s="41">
        <f t="shared" si="4"/>
        <v>45.657557792266353</v>
      </c>
      <c r="N68" s="82"/>
      <c r="O68" s="41">
        <f t="shared" si="5"/>
        <v>58.360472566738771</v>
      </c>
      <c r="Q68" s="90"/>
      <c r="R68" s="61">
        <f t="shared" si="6"/>
        <v>9408666.0626235791</v>
      </c>
      <c r="T68" s="90"/>
      <c r="U68" s="61">
        <f t="shared" si="7"/>
        <v>11365765.850843731</v>
      </c>
      <c r="W68" s="90"/>
      <c r="X68" s="61">
        <f t="shared" si="8"/>
        <v>14538455.569635402</v>
      </c>
      <c r="Z68" s="82"/>
      <c r="AA68" s="41">
        <f t="shared" si="9"/>
        <v>251.50555663524793</v>
      </c>
      <c r="AC68" s="90"/>
      <c r="AD68" s="61">
        <f t="shared" si="10"/>
        <v>61411603.292473294</v>
      </c>
      <c r="AF68" s="49"/>
      <c r="AG68" s="41">
        <f t="shared" si="11"/>
        <v>171.30060619081971</v>
      </c>
    </row>
    <row r="69" spans="2:33" x14ac:dyDescent="0.15">
      <c r="B69" s="340"/>
      <c r="C69" s="68">
        <v>38473</v>
      </c>
      <c r="D69" s="24">
        <v>377.27194222673523</v>
      </c>
      <c r="E69" s="25">
        <f t="shared" si="3"/>
        <v>380.00177819622581</v>
      </c>
      <c r="F69" s="26">
        <f t="shared" si="1"/>
        <v>-1.1190564556644133E-3</v>
      </c>
      <c r="H69" s="82"/>
      <c r="I69" s="41">
        <f t="shared" si="14"/>
        <v>37.734004981358346</v>
      </c>
      <c r="K69" s="82"/>
      <c r="L69" s="41">
        <f t="shared" si="4"/>
        <v>45.616003447049202</v>
      </c>
      <c r="N69" s="49"/>
      <c r="O69" s="41">
        <f t="shared" si="5"/>
        <v>58.307356908754869</v>
      </c>
      <c r="Q69" s="90"/>
      <c r="R69" s="61">
        <f t="shared" si="6"/>
        <v>9400102.9467561468</v>
      </c>
      <c r="T69" s="90"/>
      <c r="U69" s="61">
        <f t="shared" si="7"/>
        <v>11355421.518368216</v>
      </c>
      <c r="W69" s="90"/>
      <c r="X69" s="61">
        <f t="shared" si="8"/>
        <v>14525223.674832499</v>
      </c>
      <c r="Z69" s="82"/>
      <c r="AA69" s="41">
        <f t="shared" si="9"/>
        <v>251.27665370592342</v>
      </c>
      <c r="AC69" s="90"/>
      <c r="AD69" s="61">
        <f t="shared" si="10"/>
        <v>61355710.706733935</v>
      </c>
      <c r="AF69" s="49"/>
      <c r="AG69" s="41">
        <f t="shared" si="11"/>
        <v>171.14470024950882</v>
      </c>
    </row>
    <row r="70" spans="2:33" x14ac:dyDescent="0.15">
      <c r="B70" s="340"/>
      <c r="C70" s="68">
        <v>38504</v>
      </c>
      <c r="D70" s="24">
        <v>377.33772057441615</v>
      </c>
      <c r="E70" s="25">
        <f t="shared" si="3"/>
        <v>379.02322348535341</v>
      </c>
      <c r="F70" s="26">
        <f t="shared" si="1"/>
        <v>-2.575131925743501E-3</v>
      </c>
      <c r="H70" s="82"/>
      <c r="I70" s="41">
        <f t="shared" si="14"/>
        <v>37.691778499485885</v>
      </c>
      <c r="K70" s="82"/>
      <c r="L70" s="41">
        <f t="shared" si="4"/>
        <v>45.564956563910172</v>
      </c>
      <c r="N70" s="49"/>
      <c r="O70" s="41">
        <f t="shared" si="5"/>
        <v>58.242107684593392</v>
      </c>
      <c r="Q70" s="90"/>
      <c r="R70" s="61">
        <f t="shared" si="6"/>
        <v>9389583.7008696683</v>
      </c>
      <c r="T70" s="90"/>
      <c r="U70" s="61">
        <f t="shared" si="7"/>
        <v>11342714.160611296</v>
      </c>
      <c r="W70" s="90"/>
      <c r="X70" s="61">
        <f t="shared" si="8"/>
        <v>14508969.129509207</v>
      </c>
      <c r="Z70" s="82"/>
      <c r="AA70" s="41">
        <f t="shared" si="9"/>
        <v>250.99546094443605</v>
      </c>
      <c r="AC70" s="90"/>
      <c r="AD70" s="61">
        <f t="shared" si="10"/>
        <v>61287050.202575684</v>
      </c>
      <c r="AF70" s="49"/>
      <c r="AG70" s="41">
        <f t="shared" si="11"/>
        <v>170.95317966784185</v>
      </c>
    </row>
    <row r="71" spans="2:33" x14ac:dyDescent="0.15">
      <c r="B71" s="340"/>
      <c r="C71" s="68">
        <v>38534</v>
      </c>
      <c r="D71" s="24">
        <v>375.77345169047459</v>
      </c>
      <c r="E71" s="25">
        <f t="shared" si="3"/>
        <v>378.1525526764803</v>
      </c>
      <c r="F71" s="26">
        <f t="shared" si="1"/>
        <v>-2.2971436970715335E-3</v>
      </c>
      <c r="H71" s="82"/>
      <c r="I71" s="41">
        <f t="shared" si="14"/>
        <v>37.594717197333807</v>
      </c>
      <c r="K71" s="82"/>
      <c r="L71" s="41">
        <f t="shared" si="4"/>
        <v>45.447620789567331</v>
      </c>
      <c r="N71" s="49"/>
      <c r="O71" s="41">
        <f t="shared" si="5"/>
        <v>58.092126573672203</v>
      </c>
      <c r="Q71" s="90"/>
      <c r="R71" s="61">
        <f t="shared" si="6"/>
        <v>9365404.2841121182</v>
      </c>
      <c r="T71" s="90"/>
      <c r="U71" s="61">
        <f t="shared" si="7"/>
        <v>11313505.175251722</v>
      </c>
      <c r="W71" s="90"/>
      <c r="X71" s="61">
        <f t="shared" si="8"/>
        <v>14471606.61989418</v>
      </c>
      <c r="Z71" s="82"/>
      <c r="AA71" s="41">
        <f t="shared" si="9"/>
        <v>250.34911451974131</v>
      </c>
      <c r="AC71" s="90"/>
      <c r="AD71" s="61">
        <f t="shared" si="10"/>
        <v>61129227.962964386</v>
      </c>
      <c r="AF71" s="49"/>
      <c r="AG71" s="41">
        <f t="shared" si="11"/>
        <v>170.51295267707181</v>
      </c>
    </row>
    <row r="72" spans="2:33" x14ac:dyDescent="0.15">
      <c r="B72" s="340"/>
      <c r="C72" s="68">
        <v>38565</v>
      </c>
      <c r="D72" s="24">
        <v>375.48302056974052</v>
      </c>
      <c r="E72" s="25">
        <f t="shared" si="3"/>
        <v>377.56731332478802</v>
      </c>
      <c r="F72" s="26">
        <f t="shared" si="1"/>
        <v>-1.5476276638887805E-3</v>
      </c>
      <c r="H72" s="82"/>
      <c r="I72" s="41">
        <f t="shared" si="14"/>
        <v>37.508356729680763</v>
      </c>
      <c r="K72" s="82"/>
      <c r="L72" s="41">
        <f t="shared" si="4"/>
        <v>45.343221073923679</v>
      </c>
      <c r="N72" s="49"/>
      <c r="O72" s="41">
        <f t="shared" si="5"/>
        <v>57.958680611264008</v>
      </c>
      <c r="Q72" s="58"/>
      <c r="R72" s="61">
        <f t="shared" si="6"/>
        <v>9343890.6046903431</v>
      </c>
      <c r="T72" s="90"/>
      <c r="U72" s="61">
        <f t="shared" si="7"/>
        <v>11287516.428146606</v>
      </c>
      <c r="W72" s="90"/>
      <c r="X72" s="61">
        <f t="shared" si="8"/>
        <v>14438363.259960791</v>
      </c>
      <c r="Z72" s="82"/>
      <c r="AA72" s="41">
        <f t="shared" si="9"/>
        <v>249.77402662925482</v>
      </c>
      <c r="AC72" s="90"/>
      <c r="AD72" s="61">
        <f t="shared" si="10"/>
        <v>60988805.342242412</v>
      </c>
      <c r="AF72" s="49"/>
      <c r="AG72" s="41">
        <f t="shared" si="11"/>
        <v>170.1212599225606</v>
      </c>
    </row>
    <row r="73" spans="2:33" x14ac:dyDescent="0.15">
      <c r="B73" s="340"/>
      <c r="C73" s="68">
        <v>38596</v>
      </c>
      <c r="D73" s="24">
        <v>374.03449386673503</v>
      </c>
      <c r="E73" s="25">
        <f t="shared" si="3"/>
        <v>377.23566315671633</v>
      </c>
      <c r="F73" s="26">
        <f t="shared" si="1"/>
        <v>-8.7838686339460786E-4</v>
      </c>
      <c r="H73" s="82"/>
      <c r="I73" s="41">
        <f t="shared" si="14"/>
        <v>37.450307759178898</v>
      </c>
      <c r="K73" s="82"/>
      <c r="L73" s="41">
        <f t="shared" si="4"/>
        <v>45.273046650619847</v>
      </c>
      <c r="N73" s="49"/>
      <c r="O73" s="41">
        <f t="shared" si="5"/>
        <v>57.86898215378752</v>
      </c>
      <c r="Q73" s="58"/>
      <c r="R73" s="61">
        <f t="shared" si="6"/>
        <v>9329429.7411021739</v>
      </c>
      <c r="T73" s="90"/>
      <c r="U73" s="61">
        <f t="shared" si="7"/>
        <v>11270047.555465806</v>
      </c>
      <c r="W73" s="90"/>
      <c r="X73" s="61">
        <f t="shared" si="8"/>
        <v>14416018.049558399</v>
      </c>
      <c r="Z73" s="82"/>
      <c r="AA73" s="41">
        <f t="shared" si="9"/>
        <v>249.38746943592247</v>
      </c>
      <c r="AC73" s="58"/>
      <c r="AD73" s="61">
        <f t="shared" si="10"/>
        <v>60894417.379907228</v>
      </c>
      <c r="AF73" s="49"/>
      <c r="AG73" s="41">
        <f t="shared" si="11"/>
        <v>169.85797555448883</v>
      </c>
    </row>
    <row r="74" spans="2:33" x14ac:dyDescent="0.15">
      <c r="B74" s="340"/>
      <c r="C74" s="68">
        <v>38626</v>
      </c>
      <c r="D74" s="24">
        <v>374.63953091277597</v>
      </c>
      <c r="E74" s="25">
        <f t="shared" si="3"/>
        <v>376.5462576098289</v>
      </c>
      <c r="F74" s="26">
        <f t="shared" si="1"/>
        <v>-1.8275195434028367E-3</v>
      </c>
      <c r="H74" s="82"/>
      <c r="I74" s="41">
        <f t="shared" si="14"/>
        <v>37.41741190081315</v>
      </c>
      <c r="K74" s="82"/>
      <c r="L74" s="41">
        <f t="shared" si="4"/>
        <v>45.233279401176091</v>
      </c>
      <c r="N74" s="49"/>
      <c r="O74" s="41">
        <f t="shared" si="5"/>
        <v>57.818150800065617</v>
      </c>
      <c r="Q74" s="58"/>
      <c r="R74" s="61">
        <f t="shared" si="6"/>
        <v>9321234.892574627</v>
      </c>
      <c r="T74" s="90"/>
      <c r="U74" s="61">
        <f t="shared" si="7"/>
        <v>11260148.093743253</v>
      </c>
      <c r="W74" s="90"/>
      <c r="X74" s="61">
        <f t="shared" si="8"/>
        <v>14403355.208681207</v>
      </c>
      <c r="Z74" s="82"/>
      <c r="AA74" s="41">
        <f t="shared" si="9"/>
        <v>249.16841075887473</v>
      </c>
      <c r="AC74" s="58"/>
      <c r="AD74" s="61">
        <f t="shared" si="10"/>
        <v>60840928.523626648</v>
      </c>
      <c r="AF74" s="49"/>
      <c r="AG74" s="41">
        <f t="shared" si="11"/>
        <v>169.70877454011898</v>
      </c>
    </row>
    <row r="75" spans="2:33" x14ac:dyDescent="0.15">
      <c r="B75" s="340"/>
      <c r="C75" s="68">
        <v>38657</v>
      </c>
      <c r="D75" s="24">
        <v>373.42201837861757</v>
      </c>
      <c r="E75" s="25">
        <f t="shared" si="3"/>
        <v>375.97717321799149</v>
      </c>
      <c r="F75" s="26">
        <f t="shared" si="1"/>
        <v>-1.5113266440350155E-3</v>
      </c>
      <c r="H75" s="82"/>
      <c r="I75" s="41">
        <f t="shared" si="14"/>
        <v>37.34903084930086</v>
      </c>
      <c r="K75" s="82"/>
      <c r="L75" s="41">
        <f t="shared" si="4"/>
        <v>45.150614699058238</v>
      </c>
      <c r="N75" s="49"/>
      <c r="O75" s="41">
        <f t="shared" si="5"/>
        <v>57.712486999515079</v>
      </c>
      <c r="Q75" s="58"/>
      <c r="R75" s="61">
        <f t="shared" si="6"/>
        <v>9304200.1536397971</v>
      </c>
      <c r="T75" s="90"/>
      <c r="U75" s="61">
        <f t="shared" si="7"/>
        <v>11239569.953040328</v>
      </c>
      <c r="W75" s="58"/>
      <c r="X75" s="61">
        <f t="shared" si="8"/>
        <v>14377032.795546768</v>
      </c>
      <c r="Z75" s="82"/>
      <c r="AA75" s="41">
        <f t="shared" si="9"/>
        <v>248.71305061861426</v>
      </c>
      <c r="AC75" s="58"/>
      <c r="AD75" s="61">
        <f t="shared" si="10"/>
        <v>60729740.537710942</v>
      </c>
      <c r="AF75" s="49"/>
      <c r="AG75" s="41">
        <f t="shared" si="11"/>
        <v>169.39862843795996</v>
      </c>
    </row>
    <row r="76" spans="2:33" ht="11.25" thickBot="1" x14ac:dyDescent="0.2">
      <c r="B76" s="345"/>
      <c r="C76" s="70">
        <v>38687</v>
      </c>
      <c r="D76" s="28">
        <v>373.82074424497716</v>
      </c>
      <c r="E76" s="36">
        <f t="shared" si="3"/>
        <v>375.74131194679097</v>
      </c>
      <c r="F76" s="37">
        <f t="shared" si="1"/>
        <v>-6.2732869972339351E-4</v>
      </c>
      <c r="G76" s="13"/>
      <c r="H76" s="84"/>
      <c r="I76" s="45">
        <f t="shared" si="14"/>
        <v>37.292584263849427</v>
      </c>
      <c r="J76" s="13"/>
      <c r="K76" s="84"/>
      <c r="L76" s="45">
        <f t="shared" si="4"/>
        <v>45.082377372068997</v>
      </c>
      <c r="M76" s="13"/>
      <c r="N76" s="53"/>
      <c r="O76" s="45">
        <f t="shared" si="5"/>
        <v>57.625264580219188</v>
      </c>
      <c r="P76" s="13"/>
      <c r="Q76" s="60"/>
      <c r="R76" s="64">
        <f t="shared" si="6"/>
        <v>9290138.4680461679</v>
      </c>
      <c r="S76" s="13"/>
      <c r="T76" s="92"/>
      <c r="U76" s="64">
        <f t="shared" si="7"/>
        <v>11222583.291502804</v>
      </c>
      <c r="V76" s="13"/>
      <c r="W76" s="60"/>
      <c r="X76" s="64">
        <f t="shared" si="8"/>
        <v>14355304.402820693</v>
      </c>
      <c r="Z76" s="84"/>
      <c r="AA76" s="45">
        <f t="shared" si="9"/>
        <v>248.33716395849513</v>
      </c>
      <c r="AC76" s="60"/>
      <c r="AD76" s="64">
        <f t="shared" si="10"/>
        <v>60637958.062750965</v>
      </c>
      <c r="AF76" s="53"/>
      <c r="AG76" s="45">
        <f t="shared" si="11"/>
        <v>169.14261177733869</v>
      </c>
    </row>
    <row r="77" spans="2:33" x14ac:dyDescent="0.15">
      <c r="B77" s="339">
        <v>2006</v>
      </c>
      <c r="C77" s="69">
        <v>38718</v>
      </c>
      <c r="D77" s="32">
        <v>380.93622819634527</v>
      </c>
      <c r="E77" s="46">
        <f>AVERAGE(D65:D76)</f>
        <v>376.01744822581031</v>
      </c>
      <c r="F77" s="22">
        <f>(E77-E76)/E76</f>
        <v>7.3491061599966975E-4</v>
      </c>
      <c r="H77" s="85"/>
      <c r="I77" s="40">
        <f>I76*(1+F76)*0.98</f>
        <v>36.523805764344786</v>
      </c>
      <c r="K77" s="85"/>
      <c r="L77" s="40">
        <f>L76*(1+F76)*0.98</f>
        <v>44.153013984833905</v>
      </c>
      <c r="N77" s="54"/>
      <c r="O77" s="40">
        <f>O76*(1+F76)*0.98</f>
        <v>56.437332305960489</v>
      </c>
      <c r="Q77" s="65"/>
      <c r="R77" s="57">
        <f>R76*(1+F76)*0.98</f>
        <v>9098624.2876095437</v>
      </c>
      <c r="T77" s="93"/>
      <c r="U77" s="57">
        <f>U76*(1+F76)*0.98</f>
        <v>10991232.182060627</v>
      </c>
      <c r="W77" s="65"/>
      <c r="X77" s="57">
        <f>X76*(1+F76)*0.98</f>
        <v>14059372.930208027</v>
      </c>
      <c r="Z77" s="85"/>
      <c r="AA77" s="40">
        <f>AA76*(1+F76)*0.98</f>
        <v>243.21774742976933</v>
      </c>
      <c r="AC77" s="65"/>
      <c r="AD77" s="57">
        <f>AD76*(1+F76)*0.98</f>
        <v>59387919.76873827</v>
      </c>
      <c r="AF77" s="54"/>
      <c r="AG77" s="40">
        <f>AG76*(1+F76)*0.98</f>
        <v>165.65577368737209</v>
      </c>
    </row>
    <row r="78" spans="2:33" x14ac:dyDescent="0.15">
      <c r="B78" s="340"/>
      <c r="C78" s="68">
        <v>38749</v>
      </c>
      <c r="D78" s="24">
        <v>379.96988324914992</v>
      </c>
      <c r="E78" s="25">
        <f t="shared" si="3"/>
        <v>376.34905577042213</v>
      </c>
      <c r="F78" s="26">
        <f t="shared" si="1"/>
        <v>8.8189403490838178E-4</v>
      </c>
      <c r="H78" s="86"/>
      <c r="I78" s="41">
        <f t="shared" ref="I78:I88" si="15">I77*(1+F77)</f>
        <v>36.550647496937714</v>
      </c>
      <c r="K78" s="86"/>
      <c r="L78" s="41">
        <f t="shared" si="4"/>
        <v>44.185462503539746</v>
      </c>
      <c r="N78" s="55"/>
      <c r="O78" s="41">
        <f t="shared" si="5"/>
        <v>56.478808700610841</v>
      </c>
      <c r="Q78" s="66"/>
      <c r="R78" s="61">
        <f t="shared" si="6"/>
        <v>9105310.9631895013</v>
      </c>
      <c r="T78" s="94"/>
      <c r="U78" s="61">
        <f t="shared" si="7"/>
        <v>10999309.755274141</v>
      </c>
      <c r="W78" s="66"/>
      <c r="X78" s="61">
        <f t="shared" si="8"/>
        <v>14069705.312628737</v>
      </c>
      <c r="Z78" s="86"/>
      <c r="AA78" s="41">
        <f t="shared" si="9"/>
        <v>243.39649073435501</v>
      </c>
      <c r="AC78" s="66"/>
      <c r="AD78" s="61">
        <f t="shared" si="10"/>
        <v>59431564.581438452</v>
      </c>
      <c r="AF78" s="55"/>
      <c r="AG78" s="41">
        <f t="shared" si="11"/>
        <v>165.77751587405658</v>
      </c>
    </row>
    <row r="79" spans="2:33" x14ac:dyDescent="0.15">
      <c r="B79" s="340"/>
      <c r="C79" s="68">
        <v>38777</v>
      </c>
      <c r="D79" s="24">
        <v>383.85389184417676</v>
      </c>
      <c r="E79" s="25">
        <f t="shared" si="3"/>
        <v>376.73727201218344</v>
      </c>
      <c r="F79" s="26">
        <f t="shared" si="1"/>
        <v>1.0315323920943489E-3</v>
      </c>
      <c r="H79" s="86"/>
      <c r="I79" s="41">
        <f t="shared" si="15"/>
        <v>36.582881294937302</v>
      </c>
      <c r="K79" s="86"/>
      <c r="L79" s="41">
        <f t="shared" si="4"/>
        <v>44.224429399351287</v>
      </c>
      <c r="N79" s="55"/>
      <c r="O79" s="41">
        <f t="shared" si="5"/>
        <v>56.528617025102648</v>
      </c>
      <c r="Q79" s="66"/>
      <c r="R79" s="61">
        <f t="shared" si="6"/>
        <v>9113340.8826139253</v>
      </c>
      <c r="T79" s="66"/>
      <c r="U79" s="61">
        <f t="shared" si="7"/>
        <v>11009009.980935428</v>
      </c>
      <c r="W79" s="66"/>
      <c r="X79" s="61">
        <f t="shared" si="8"/>
        <v>14082113.301816864</v>
      </c>
      <c r="Z79" s="86"/>
      <c r="AA79" s="41">
        <f t="shared" si="9"/>
        <v>243.6111406476513</v>
      </c>
      <c r="AC79" s="66"/>
      <c r="AD79" s="61">
        <f t="shared" si="10"/>
        <v>59483976.923728101</v>
      </c>
      <c r="AF79" s="55"/>
      <c r="AG79" s="41">
        <f t="shared" si="11"/>
        <v>165.92371407642784</v>
      </c>
    </row>
    <row r="80" spans="2:33" x14ac:dyDescent="0.15">
      <c r="B80" s="340"/>
      <c r="C80" s="68">
        <v>38808</v>
      </c>
      <c r="D80" s="24">
        <v>391.43817302838528</v>
      </c>
      <c r="E80" s="25">
        <f t="shared" si="3"/>
        <v>377.05867544326753</v>
      </c>
      <c r="F80" s="26">
        <f t="shared" si="1"/>
        <v>8.5312352921029539E-4</v>
      </c>
      <c r="H80" s="86"/>
      <c r="I80" s="41">
        <f t="shared" si="15"/>
        <v>36.620617721989177</v>
      </c>
      <c r="K80" s="86"/>
      <c r="L80" s="41">
        <f t="shared" si="4"/>
        <v>44.270048330798609</v>
      </c>
      <c r="N80" s="55"/>
      <c r="O80" s="41">
        <f t="shared" si="5"/>
        <v>56.586928124644338</v>
      </c>
      <c r="Q80" s="66"/>
      <c r="R80" s="61">
        <f t="shared" si="6"/>
        <v>9122741.5889345407</v>
      </c>
      <c r="T80" s="66"/>
      <c r="U80" s="61">
        <f t="shared" si="7"/>
        <v>11020366.131335653</v>
      </c>
      <c r="W80" s="66"/>
      <c r="X80" s="61">
        <f t="shared" si="8"/>
        <v>14096639.457836831</v>
      </c>
      <c r="Z80" s="86"/>
      <c r="AA80" s="41">
        <f t="shared" si="9"/>
        <v>243.86243343030441</v>
      </c>
      <c r="AC80" s="66"/>
      <c r="AD80" s="61">
        <f t="shared" si="10"/>
        <v>59545336.572735526</v>
      </c>
      <c r="AF80" s="55"/>
      <c r="AG80" s="41">
        <f t="shared" si="11"/>
        <v>166.09486976211429</v>
      </c>
    </row>
    <row r="81" spans="2:33" x14ac:dyDescent="0.15">
      <c r="B81" s="340"/>
      <c r="C81" s="68">
        <v>38838</v>
      </c>
      <c r="D81" s="24">
        <v>399.04452223381213</v>
      </c>
      <c r="E81" s="25">
        <f t="shared" si="3"/>
        <v>378.16509156521073</v>
      </c>
      <c r="F81" s="26">
        <f t="shared" si="1"/>
        <v>2.9343340811413582E-3</v>
      </c>
      <c r="H81" s="86"/>
      <c r="I81" s="41">
        <f t="shared" si="15"/>
        <v>36.651859632622021</v>
      </c>
      <c r="K81" s="86"/>
      <c r="L81" s="41">
        <f t="shared" si="4"/>
        <v>44.307816150668884</v>
      </c>
      <c r="N81" s="55"/>
      <c r="O81" s="41">
        <f t="shared" si="5"/>
        <v>56.635203764473196</v>
      </c>
      <c r="Q81" s="66"/>
      <c r="R81" s="61">
        <f t="shared" si="6"/>
        <v>9130524.4144349657</v>
      </c>
      <c r="T81" s="66"/>
      <c r="U81" s="61">
        <f t="shared" si="7"/>
        <v>11029767.864982806</v>
      </c>
      <c r="W81" s="66"/>
      <c r="X81" s="61">
        <f t="shared" si="8"/>
        <v>14108665.632641105</v>
      </c>
      <c r="Z81" s="86"/>
      <c r="AA81" s="41">
        <f t="shared" si="9"/>
        <v>244.07047821015425</v>
      </c>
      <c r="AC81" s="66"/>
      <c r="AD81" s="61">
        <f t="shared" si="10"/>
        <v>59596136.100420468</v>
      </c>
      <c r="AF81" s="55"/>
      <c r="AG81" s="41">
        <f t="shared" si="11"/>
        <v>166.23656920358945</v>
      </c>
    </row>
    <row r="82" spans="2:33" x14ac:dyDescent="0.15">
      <c r="B82" s="340"/>
      <c r="C82" s="68">
        <v>38869</v>
      </c>
      <c r="D82" s="24">
        <v>409.20716813777176</v>
      </c>
      <c r="E82" s="25">
        <f t="shared" si="3"/>
        <v>379.97947323246717</v>
      </c>
      <c r="F82" s="26">
        <f t="shared" si="1"/>
        <v>4.7978560362268909E-3</v>
      </c>
      <c r="H82" s="86"/>
      <c r="I82" s="41">
        <f t="shared" si="15"/>
        <v>36.759408433479237</v>
      </c>
      <c r="K82" s="86"/>
      <c r="L82" s="41">
        <f t="shared" si="4"/>
        <v>44.437830085660742</v>
      </c>
      <c r="N82" s="55"/>
      <c r="O82" s="41">
        <f t="shared" si="5"/>
        <v>56.801390373071676</v>
      </c>
      <c r="Q82" s="66"/>
      <c r="R82" s="61">
        <f t="shared" si="6"/>
        <v>9157316.4234029353</v>
      </c>
      <c r="T82" s="66"/>
      <c r="U82" s="61">
        <f t="shared" si="7"/>
        <v>11062132.888736103</v>
      </c>
      <c r="W82" s="66"/>
      <c r="X82" s="61">
        <f t="shared" si="8"/>
        <v>14150065.171046393</v>
      </c>
      <c r="Z82" s="86"/>
      <c r="AA82" s="41">
        <f t="shared" si="9"/>
        <v>244.78666253256679</v>
      </c>
      <c r="AC82" s="66"/>
      <c r="AD82" s="61">
        <f t="shared" si="10"/>
        <v>59771011.073684275</v>
      </c>
      <c r="AF82" s="55"/>
      <c r="AG82" s="41">
        <f t="shared" si="11"/>
        <v>166.72436283413558</v>
      </c>
    </row>
    <row r="83" spans="2:33" x14ac:dyDescent="0.15">
      <c r="B83" s="340"/>
      <c r="C83" s="68">
        <v>38899</v>
      </c>
      <c r="D83" s="24">
        <v>397.14539852612836</v>
      </c>
      <c r="E83" s="25">
        <f t="shared" si="3"/>
        <v>382.63526052941353</v>
      </c>
      <c r="F83" s="26">
        <f t="shared" si="1"/>
        <v>6.9892914855471059E-3</v>
      </c>
      <c r="H83" s="86"/>
      <c r="I83" s="41">
        <f t="shared" si="15"/>
        <v>36.935774783119939</v>
      </c>
      <c r="K83" s="86"/>
      <c r="L83" s="41">
        <f t="shared" si="4"/>
        <v>44.651036396974057</v>
      </c>
      <c r="N83" s="55"/>
      <c r="O83" s="41">
        <f t="shared" si="5"/>
        <v>57.073915266739199</v>
      </c>
      <c r="Q83" s="66"/>
      <c r="R83" s="61">
        <f t="shared" si="6"/>
        <v>9201251.9092806</v>
      </c>
      <c r="T83" s="66"/>
      <c r="U83" s="61">
        <f t="shared" si="7"/>
        <v>11115207.40978987</v>
      </c>
      <c r="W83" s="66"/>
      <c r="X83" s="61">
        <f t="shared" si="8"/>
        <v>14217955.146640303</v>
      </c>
      <c r="Z83" s="86"/>
      <c r="AA83" s="41">
        <f t="shared" si="9"/>
        <v>245.96111369898651</v>
      </c>
      <c r="AC83" s="66"/>
      <c r="AD83" s="61">
        <f t="shared" si="10"/>
        <v>60057783.779955536</v>
      </c>
      <c r="AF83" s="55"/>
      <c r="AG83" s="41">
        <f t="shared" si="11"/>
        <v>167.52428232474543</v>
      </c>
    </row>
    <row r="84" spans="2:33" x14ac:dyDescent="0.15">
      <c r="B84" s="340"/>
      <c r="C84" s="68">
        <v>38930</v>
      </c>
      <c r="D84" s="24">
        <v>395.31222117757011</v>
      </c>
      <c r="E84" s="25">
        <f t="shared" si="3"/>
        <v>384.4162560990514</v>
      </c>
      <c r="F84" s="26">
        <f t="shared" si="1"/>
        <v>4.6545516144374252E-3</v>
      </c>
      <c r="H84" s="86"/>
      <c r="I84" s="41">
        <f t="shared" si="15"/>
        <v>37.193929679323688</v>
      </c>
      <c r="K84" s="86"/>
      <c r="L84" s="41">
        <f t="shared" si="4"/>
        <v>44.963115505484282</v>
      </c>
      <c r="N84" s="55"/>
      <c r="O84" s="41">
        <f t="shared" si="5"/>
        <v>57.472821496759863</v>
      </c>
      <c r="Q84" s="66"/>
      <c r="R84" s="61">
        <f t="shared" si="6"/>
        <v>9265562.140906509</v>
      </c>
      <c r="T84" s="66"/>
      <c r="U84" s="61">
        <f t="shared" si="7"/>
        <v>11192894.834299205</v>
      </c>
      <c r="W84" s="66"/>
      <c r="X84" s="61">
        <f t="shared" si="8"/>
        <v>14317328.579488607</v>
      </c>
      <c r="Z84" s="86"/>
      <c r="AA84" s="41">
        <f t="shared" si="9"/>
        <v>247.68020761673853</v>
      </c>
      <c r="AC84" s="66"/>
      <c r="AD84" s="61">
        <f t="shared" si="10"/>
        <v>60477545.136769615</v>
      </c>
      <c r="AF84" s="55"/>
      <c r="AG84" s="41">
        <f t="shared" si="11"/>
        <v>168.69515836482017</v>
      </c>
    </row>
    <row r="85" spans="2:33" x14ac:dyDescent="0.15">
      <c r="B85" s="340"/>
      <c r="C85" s="68">
        <v>38961</v>
      </c>
      <c r="D85" s="24">
        <v>395.45884380574813</v>
      </c>
      <c r="E85" s="25">
        <f t="shared" si="3"/>
        <v>386.06868948303713</v>
      </c>
      <c r="F85" s="26">
        <f t="shared" si="1"/>
        <v>4.298552305654733E-3</v>
      </c>
      <c r="H85" s="86"/>
      <c r="I85" s="41">
        <f t="shared" si="15"/>
        <v>37.367050744759858</v>
      </c>
      <c r="K85" s="86"/>
      <c r="L85" s="41">
        <f t="shared" si="4"/>
        <v>45.17239864735047</v>
      </c>
      <c r="N85" s="55"/>
      <c r="O85" s="41">
        <f t="shared" si="5"/>
        <v>57.740331710843876</v>
      </c>
      <c r="Q85" s="66"/>
      <c r="R85" s="61">
        <f t="shared" si="6"/>
        <v>9308689.1781281363</v>
      </c>
      <c r="T85" s="66"/>
      <c r="U85" s="61">
        <f t="shared" si="7"/>
        <v>11244992.741020421</v>
      </c>
      <c r="W85" s="66"/>
      <c r="X85" s="61">
        <f t="shared" si="8"/>
        <v>14383969.324342696</v>
      </c>
      <c r="Z85" s="86"/>
      <c r="AA85" s="41">
        <f t="shared" si="9"/>
        <v>248.83304792696521</v>
      </c>
      <c r="AC85" s="66"/>
      <c r="AD85" s="61">
        <f t="shared" si="10"/>
        <v>60759040.992123179</v>
      </c>
      <c r="AF85" s="55"/>
      <c r="AG85" s="41">
        <f t="shared" si="11"/>
        <v>169.48035868653491</v>
      </c>
    </row>
    <row r="86" spans="2:33" x14ac:dyDescent="0.15">
      <c r="B86" s="340"/>
      <c r="C86" s="68">
        <v>38991</v>
      </c>
      <c r="D86" s="24">
        <v>390.19820956336849</v>
      </c>
      <c r="E86" s="25">
        <f t="shared" ref="E86:E91" si="16">AVERAGE(D74:D85)</f>
        <v>387.8540519779549</v>
      </c>
      <c r="F86" s="26">
        <f t="shared" si="1"/>
        <v>4.62446850405932E-3</v>
      </c>
      <c r="H86" s="86"/>
      <c r="I86" s="41">
        <f t="shared" si="15"/>
        <v>37.52767496689426</v>
      </c>
      <c r="K86" s="86"/>
      <c r="L86" s="41">
        <f t="shared" si="4"/>
        <v>45.366574565707992</v>
      </c>
      <c r="N86" s="55"/>
      <c r="O86" s="41">
        <f t="shared" si="5"/>
        <v>57.98853154684879</v>
      </c>
      <c r="Q86" s="66"/>
      <c r="R86" s="61">
        <f t="shared" si="6"/>
        <v>9348703.0654574018</v>
      </c>
      <c r="T86" s="66"/>
      <c r="U86" s="61">
        <f t="shared" si="7"/>
        <v>11293329.930494403</v>
      </c>
      <c r="W86" s="66"/>
      <c r="X86" s="61">
        <f t="shared" si="8"/>
        <v>14445799.568846315</v>
      </c>
      <c r="Z86" s="55"/>
      <c r="AA86" s="41">
        <f t="shared" si="9"/>
        <v>249.90266979885473</v>
      </c>
      <c r="AC86" s="66"/>
      <c r="AD86" s="61">
        <f t="shared" si="10"/>
        <v>61020216.907869235</v>
      </c>
      <c r="AF86" s="55"/>
      <c r="AG86" s="41">
        <f t="shared" si="11"/>
        <v>170.20887887313009</v>
      </c>
    </row>
    <row r="87" spans="2:33" x14ac:dyDescent="0.15">
      <c r="B87" s="340"/>
      <c r="C87" s="68">
        <v>39022</v>
      </c>
      <c r="D87" s="24">
        <v>388.91377220176781</v>
      </c>
      <c r="E87" s="25">
        <f t="shared" si="16"/>
        <v>389.15060853217091</v>
      </c>
      <c r="F87" s="26">
        <f t="shared" si="1"/>
        <v>3.3428980504494128E-3</v>
      </c>
      <c r="H87" s="86"/>
      <c r="I87" s="41">
        <f t="shared" si="15"/>
        <v>37.70122051780924</v>
      </c>
      <c r="K87" s="86"/>
      <c r="L87" s="41">
        <f t="shared" si="4"/>
        <v>45.576370860924165</v>
      </c>
      <c r="N87" s="55"/>
      <c r="O87" s="41">
        <f t="shared" si="5"/>
        <v>58.256697684583841</v>
      </c>
      <c r="Q87" s="66"/>
      <c r="R87" s="61">
        <f t="shared" si="6"/>
        <v>9391935.8483374119</v>
      </c>
      <c r="T87" s="66"/>
      <c r="U87" s="61">
        <f t="shared" si="7"/>
        <v>11345555.579063924</v>
      </c>
      <c r="W87" s="66"/>
      <c r="X87" s="61">
        <f t="shared" si="8"/>
        <v>14512603.713968398</v>
      </c>
      <c r="Z87" s="55"/>
      <c r="AA87" s="41">
        <f t="shared" si="9"/>
        <v>251.05833682441985</v>
      </c>
      <c r="AC87" s="66"/>
      <c r="AD87" s="61">
        <f t="shared" si="10"/>
        <v>61302402.979070544</v>
      </c>
      <c r="AF87" s="55"/>
      <c r="AG87" s="41">
        <f t="shared" si="11"/>
        <v>170.99600447259013</v>
      </c>
    </row>
    <row r="88" spans="2:33" ht="11.25" thickBot="1" x14ac:dyDescent="0.2">
      <c r="B88" s="341"/>
      <c r="C88" s="70">
        <v>39052</v>
      </c>
      <c r="D88" s="28">
        <v>385.05877628624228</v>
      </c>
      <c r="E88" s="29">
        <f t="shared" si="16"/>
        <v>390.44158801743339</v>
      </c>
      <c r="F88" s="30">
        <f t="shared" ref="F88:F93" si="17">(E88-E87)/E87</f>
        <v>3.3174289258647224E-3</v>
      </c>
      <c r="H88" s="87"/>
      <c r="I88" s="42">
        <f t="shared" si="15"/>
        <v>37.827251854377792</v>
      </c>
      <c r="K88" s="87"/>
      <c r="L88" s="42">
        <f t="shared" si="4"/>
        <v>45.728728022221709</v>
      </c>
      <c r="N88" s="56"/>
      <c r="O88" s="42">
        <f t="shared" si="5"/>
        <v>58.451443885699263</v>
      </c>
      <c r="Q88" s="67"/>
      <c r="R88" s="62">
        <f t="shared" si="6"/>
        <v>9423332.1323747654</v>
      </c>
      <c r="T88" s="67"/>
      <c r="U88" s="62">
        <f t="shared" si="7"/>
        <v>11383482.614690444</v>
      </c>
      <c r="W88" s="67"/>
      <c r="X88" s="62">
        <f t="shared" si="8"/>
        <v>14561117.868630769</v>
      </c>
      <c r="Z88" s="56"/>
      <c r="AA88" s="42">
        <f t="shared" si="9"/>
        <v>251.89759924913932</v>
      </c>
      <c r="AC88" s="67"/>
      <c r="AD88" s="62">
        <f t="shared" si="10"/>
        <v>61507330.662477151</v>
      </c>
      <c r="AF88" s="56"/>
      <c r="AG88" s="42">
        <f>AG87*(1+F87)</f>
        <v>171.56762668257622</v>
      </c>
    </row>
    <row r="89" spans="2:33" x14ac:dyDescent="0.15">
      <c r="B89" s="339">
        <v>2007</v>
      </c>
      <c r="C89" s="73">
        <v>39083</v>
      </c>
      <c r="D89" s="74">
        <v>393.58681875853802</v>
      </c>
      <c r="E89" s="46">
        <f t="shared" si="16"/>
        <v>391.37809068753882</v>
      </c>
      <c r="F89" s="75">
        <f t="shared" si="17"/>
        <v>2.3985730486876591E-3</v>
      </c>
      <c r="H89" s="88"/>
      <c r="I89" s="40">
        <f>I88*(1+F88)*0.98</f>
        <v>37.193686252388162</v>
      </c>
      <c r="K89" s="88"/>
      <c r="L89" s="40">
        <f>L88*(1+F88)*0.98</f>
        <v>44.962821230759516</v>
      </c>
      <c r="N89" s="78"/>
      <c r="O89" s="40">
        <f>O88*(1+F88)*0.98</f>
        <v>57.47244534847615</v>
      </c>
      <c r="Q89" s="72"/>
      <c r="R89" s="57">
        <f>R88*(1+F88)*0.98</f>
        <v>9265501.4996293597</v>
      </c>
      <c r="T89" s="72"/>
      <c r="U89" s="57">
        <f>U88*(1+F88)*0.98</f>
        <v>11192821.579009624</v>
      </c>
      <c r="W89" s="72"/>
      <c r="X89" s="57">
        <f>X88*(1+F88)*0.98</f>
        <v>14317234.875396267</v>
      </c>
      <c r="Z89" s="78"/>
      <c r="AA89" s="40">
        <f>AA88*(1+F88)*0.98</f>
        <v>247.67858659861938</v>
      </c>
      <c r="AC89" s="72"/>
      <c r="AD89" s="57">
        <f>AD88*(1+F88)*0.98</f>
        <v>60477149.323162176</v>
      </c>
      <c r="AF89" s="78"/>
      <c r="AG89" s="40">
        <f>AG88*(1+F88)*0.98</f>
        <v>168.69405428827346</v>
      </c>
    </row>
    <row r="90" spans="2:33" x14ac:dyDescent="0.15">
      <c r="B90" s="340"/>
      <c r="C90" s="68">
        <v>39114</v>
      </c>
      <c r="D90" s="24">
        <v>391.50905140998225</v>
      </c>
      <c r="E90" s="25">
        <f t="shared" si="16"/>
        <v>392.43230656772158</v>
      </c>
      <c r="F90" s="76">
        <f t="shared" si="17"/>
        <v>2.6935996297871773E-3</v>
      </c>
      <c r="H90" s="82"/>
      <c r="I90" s="41">
        <f t="shared" ref="I90:I99" si="18">I89*(1+F89)</f>
        <v>37.28289802581449</v>
      </c>
      <c r="K90" s="82"/>
      <c r="L90" s="41">
        <f t="shared" si="4"/>
        <v>45.070667841956578</v>
      </c>
      <c r="N90" s="49"/>
      <c r="O90" s="41">
        <f t="shared" si="5"/>
        <v>57.610297206931186</v>
      </c>
      <c r="Q90" s="58"/>
      <c r="R90" s="61">
        <f t="shared" si="6"/>
        <v>9287725.4818089474</v>
      </c>
      <c r="T90" s="58"/>
      <c r="U90" s="61">
        <f t="shared" si="7"/>
        <v>11219668.379187807</v>
      </c>
      <c r="W90" s="58"/>
      <c r="X90" s="61">
        <f t="shared" si="8"/>
        <v>14351575.809100125</v>
      </c>
      <c r="Z90" s="49"/>
      <c r="AA90" s="41">
        <f t="shared" si="9"/>
        <v>248.27266178117191</v>
      </c>
      <c r="AC90" s="58"/>
      <c r="AD90" s="61">
        <f t="shared" si="10"/>
        <v>60622208.183590174</v>
      </c>
      <c r="AF90" s="49"/>
      <c r="AG90" s="41">
        <f t="shared" si="11"/>
        <v>169.09867930036319</v>
      </c>
    </row>
    <row r="91" spans="2:33" x14ac:dyDescent="0.15">
      <c r="B91" s="340"/>
      <c r="C91" s="68">
        <v>39142</v>
      </c>
      <c r="D91" s="24">
        <v>389.59014493476235</v>
      </c>
      <c r="E91" s="25">
        <f t="shared" si="16"/>
        <v>393.39390391445767</v>
      </c>
      <c r="F91" s="76">
        <f t="shared" si="17"/>
        <v>2.4503521515503537E-3</v>
      </c>
      <c r="H91" s="82"/>
      <c r="I91" s="41">
        <f t="shared" si="18"/>
        <v>37.383323226134216</v>
      </c>
      <c r="K91" s="82"/>
      <c r="L91" s="41">
        <f t="shared" si="4"/>
        <v>45.192070176169935</v>
      </c>
      <c r="N91" s="49"/>
      <c r="O91" s="41">
        <f t="shared" si="5"/>
        <v>57.76547628215971</v>
      </c>
      <c r="Q91" s="58"/>
      <c r="R91" s="61">
        <f t="shared" si="6"/>
        <v>9312742.8957283124</v>
      </c>
      <c r="T91" s="58"/>
      <c r="U91" s="61">
        <f t="shared" si="7"/>
        <v>11249889.673780324</v>
      </c>
      <c r="W91" s="58"/>
      <c r="X91" s="61">
        <f t="shared" si="8"/>
        <v>14390233.20838638</v>
      </c>
      <c r="Z91" s="49"/>
      <c r="AA91" s="41">
        <f t="shared" si="9"/>
        <v>248.94140893103196</v>
      </c>
      <c r="AC91" s="58"/>
      <c r="AD91" s="61">
        <f t="shared" si="10"/>
        <v>60785500.141110376</v>
      </c>
      <c r="AF91" s="49"/>
      <c r="AG91" s="41">
        <f t="shared" si="11"/>
        <v>169.55416344032415</v>
      </c>
    </row>
    <row r="92" spans="2:33" x14ac:dyDescent="0.15">
      <c r="B92" s="340"/>
      <c r="C92" s="68">
        <v>39173</v>
      </c>
      <c r="D92" s="24">
        <v>384.05291260795315</v>
      </c>
      <c r="E92" s="25">
        <f t="shared" ref="E92:E99" si="19">AVERAGE(D80:D91)</f>
        <v>393.87192500533973</v>
      </c>
      <c r="F92" s="76">
        <f t="shared" si="17"/>
        <v>1.2151207380834519E-3</v>
      </c>
      <c r="H92" s="82"/>
      <c r="I92" s="41">
        <f t="shared" si="18"/>
        <v>37.474925532633478</v>
      </c>
      <c r="K92" s="82"/>
      <c r="L92" s="41">
        <f t="shared" si="4"/>
        <v>45.302806662559128</v>
      </c>
      <c r="N92" s="49"/>
      <c r="O92" s="41">
        <f t="shared" si="5"/>
        <v>57.907022041253036</v>
      </c>
      <c r="Q92" s="58"/>
      <c r="R92" s="61">
        <f t="shared" si="6"/>
        <v>9335562.3953196965</v>
      </c>
      <c r="T92" s="58"/>
      <c r="U92" s="61">
        <f t="shared" si="7"/>
        <v>11277455.865147177</v>
      </c>
      <c r="W92" s="58"/>
      <c r="X92" s="61">
        <f t="shared" si="8"/>
        <v>14425494.347289862</v>
      </c>
      <c r="Z92" s="49"/>
      <c r="AA92" s="41">
        <f t="shared" si="9"/>
        <v>249.55140304801611</v>
      </c>
      <c r="AC92" s="58"/>
      <c r="AD92" s="61">
        <f t="shared" si="10"/>
        <v>60934446.022164211</v>
      </c>
      <c r="AF92" s="49"/>
      <c r="AG92" s="41">
        <f t="shared" si="11"/>
        <v>169.96963084951449</v>
      </c>
    </row>
    <row r="93" spans="2:33" x14ac:dyDescent="0.15">
      <c r="B93" s="340"/>
      <c r="C93" s="68">
        <v>39203</v>
      </c>
      <c r="D93" s="24">
        <v>370.1479664189954</v>
      </c>
      <c r="E93" s="25">
        <f t="shared" si="19"/>
        <v>393.25648663697035</v>
      </c>
      <c r="F93" s="76">
        <f t="shared" si="17"/>
        <v>-1.562534238410211E-3</v>
      </c>
      <c r="H93" s="82"/>
      <c r="I93" s="41">
        <f t="shared" si="18"/>
        <v>37.520462091806316</v>
      </c>
      <c r="K93" s="82"/>
      <c r="L93" s="41">
        <f t="shared" si="4"/>
        <v>45.357855042428191</v>
      </c>
      <c r="N93" s="49"/>
      <c r="O93" s="41">
        <f t="shared" si="5"/>
        <v>57.97738606461602</v>
      </c>
      <c r="Q93" s="58"/>
      <c r="R93" s="61">
        <f t="shared" si="6"/>
        <v>9346906.2307879217</v>
      </c>
      <c r="T93" s="58"/>
      <c r="U93" s="61">
        <f t="shared" si="7"/>
        <v>11291159.335641738</v>
      </c>
      <c r="W93" s="58"/>
      <c r="X93" s="61">
        <f t="shared" si="8"/>
        <v>14443023.064628361</v>
      </c>
      <c r="Z93" s="49"/>
      <c r="AA93" s="41">
        <f t="shared" si="9"/>
        <v>249.8546381330776</v>
      </c>
      <c r="AC93" s="58"/>
      <c r="AD93" s="61">
        <f t="shared" si="10"/>
        <v>61008488.73118937</v>
      </c>
      <c r="AF93" s="49"/>
      <c r="AG93" s="41">
        <f t="shared" si="11"/>
        <v>170.17616447280412</v>
      </c>
    </row>
    <row r="94" spans="2:33" x14ac:dyDescent="0.15">
      <c r="B94" s="340"/>
      <c r="C94" s="68">
        <v>39234</v>
      </c>
      <c r="D94" s="24">
        <v>371.32288112593784</v>
      </c>
      <c r="E94" s="25">
        <f>AVERAGE(D82:D93)</f>
        <v>390.84844031906897</v>
      </c>
      <c r="F94" s="76">
        <f t="shared" ref="F94:F99" si="20">(E94-E93)/E93</f>
        <v>-6.1233479922845804E-3</v>
      </c>
      <c r="H94" s="82"/>
      <c r="I94" s="41">
        <f t="shared" si="18"/>
        <v>37.461835085146895</v>
      </c>
      <c r="K94" s="82"/>
      <c r="L94" s="41">
        <f t="shared" si="4"/>
        <v>45.286981840943547</v>
      </c>
      <c r="N94" s="49"/>
      <c r="O94" s="41">
        <f t="shared" si="5"/>
        <v>57.886794413836526</v>
      </c>
      <c r="Q94" s="58"/>
      <c r="R94" s="61">
        <f t="shared" si="6"/>
        <v>9332301.3697791062</v>
      </c>
      <c r="T94" s="58"/>
      <c r="U94" s="61">
        <f t="shared" si="7"/>
        <v>11273516.512588453</v>
      </c>
      <c r="W94" s="58"/>
      <c r="X94" s="61">
        <f t="shared" si="8"/>
        <v>14420455.34658373</v>
      </c>
      <c r="Z94" s="49"/>
      <c r="AA94" s="41">
        <f t="shared" si="9"/>
        <v>249.46423170636908</v>
      </c>
      <c r="AC94" s="58"/>
      <c r="AD94" s="61">
        <f t="shared" si="10"/>
        <v>60913160.87871322</v>
      </c>
      <c r="AF94" s="49"/>
      <c r="AG94" s="41">
        <f t="shared" si="11"/>
        <v>169.91025838925404</v>
      </c>
    </row>
    <row r="95" spans="2:33" x14ac:dyDescent="0.15">
      <c r="B95" s="340"/>
      <c r="C95" s="68">
        <v>39264</v>
      </c>
      <c r="D95" s="24">
        <v>371.53450562600375</v>
      </c>
      <c r="E95" s="25">
        <f t="shared" si="19"/>
        <v>387.69141640141623</v>
      </c>
      <c r="F95" s="76">
        <f t="shared" si="20"/>
        <v>-8.0773609204516754E-3</v>
      </c>
      <c r="H95" s="82"/>
      <c r="I95" s="41">
        <f t="shared" si="18"/>
        <v>37.232443232490965</v>
      </c>
      <c r="K95" s="82"/>
      <c r="L95" s="41">
        <f>L94*(1+F94)</f>
        <v>45.009673891611179</v>
      </c>
      <c r="N95" s="49"/>
      <c r="O95" s="41">
        <f>O94*(1+F94)</f>
        <v>57.532333427482776</v>
      </c>
      <c r="Q95" s="58"/>
      <c r="R95" s="61">
        <f>R94*(1+F94)</f>
        <v>9275156.4409230743</v>
      </c>
      <c r="T95" s="58"/>
      <c r="U95" s="61">
        <f>U94*(1+F94)</f>
        <v>11204484.847885108</v>
      </c>
      <c r="W95" s="58"/>
      <c r="X95" s="61">
        <f>X94*(1+F94)</f>
        <v>14332153.880289398</v>
      </c>
      <c r="Z95" s="49"/>
      <c r="AA95" s="41">
        <f>AA94*(1+F94)</f>
        <v>247.93667540400307</v>
      </c>
      <c r="AC95" s="58"/>
      <c r="AD95" s="61">
        <f>AD94*(1+F94)</f>
        <v>60540168.397342846</v>
      </c>
      <c r="AF95" s="49"/>
      <c r="AG95" s="41">
        <f t="shared" si="11"/>
        <v>168.86983874967765</v>
      </c>
    </row>
    <row r="96" spans="2:33" x14ac:dyDescent="0.15">
      <c r="B96" s="340"/>
      <c r="C96" s="68">
        <v>39295</v>
      </c>
      <c r="D96" s="24">
        <v>385.80027288040333</v>
      </c>
      <c r="E96" s="25">
        <f t="shared" si="19"/>
        <v>385.5571753264058</v>
      </c>
      <c r="F96" s="76">
        <f t="shared" si="20"/>
        <v>-5.5049995556276134E-3</v>
      </c>
      <c r="H96" s="82"/>
      <c r="I96" s="41">
        <f t="shared" si="18"/>
        <v>36.931703350551906</v>
      </c>
      <c r="K96" s="82"/>
      <c r="L96" s="41">
        <f>L95*(1+F95)</f>
        <v>44.646114510676803</v>
      </c>
      <c r="N96" s="49"/>
      <c r="O96" s="41">
        <f>O95*(1+F95)</f>
        <v>57.067624005793235</v>
      </c>
      <c r="Q96" s="58"/>
      <c r="R96" s="61">
        <f>R95*(1+F95)</f>
        <v>9200237.6547560878</v>
      </c>
      <c r="T96" s="58"/>
      <c r="U96" s="61">
        <f>U95*(1+F95)</f>
        <v>11113982.179841008</v>
      </c>
      <c r="W96" s="58"/>
      <c r="X96" s="61">
        <f>X95*(1+F95)</f>
        <v>14216387.900630848</v>
      </c>
      <c r="Z96" s="49"/>
      <c r="AA96" s="41">
        <f>AA95*(1+F95)</f>
        <v>245.93400139134806</v>
      </c>
      <c r="AC96" s="58"/>
      <c r="AD96" s="61">
        <f>AD95*(1+F95)</f>
        <v>60051163.607012585</v>
      </c>
      <c r="AF96" s="49"/>
      <c r="AG96" s="41">
        <f t="shared" si="11"/>
        <v>167.50581611351805</v>
      </c>
    </row>
    <row r="97" spans="2:33" x14ac:dyDescent="0.15">
      <c r="B97" s="340"/>
      <c r="C97" s="68">
        <v>39326</v>
      </c>
      <c r="D97" s="24">
        <v>376.65009460431611</v>
      </c>
      <c r="E97" s="25">
        <f t="shared" si="19"/>
        <v>384.76451296830857</v>
      </c>
      <c r="F97" s="76">
        <f t="shared" si="20"/>
        <v>-2.0558879689534454E-3</v>
      </c>
      <c r="H97" s="82"/>
      <c r="I97" s="41">
        <f t="shared" si="18"/>
        <v>36.728394340018546</v>
      </c>
      <c r="K97" s="82"/>
      <c r="L97" s="41">
        <f>L96*(1+F96)</f>
        <v>44.400337670135023</v>
      </c>
      <c r="N97" s="49"/>
      <c r="O97" s="41">
        <f>O96*(1+F96)</f>
        <v>56.753466761000617</v>
      </c>
      <c r="Q97" s="58"/>
      <c r="R97" s="61">
        <f>R96*(1+F96)</f>
        <v>9149590.3505549859</v>
      </c>
      <c r="T97" s="58"/>
      <c r="U97" s="61">
        <f>U96*(1+F96)</f>
        <v>11052799.71287973</v>
      </c>
      <c r="W97" s="58"/>
      <c r="X97" s="61">
        <f>X96*(1+F96)</f>
        <v>14138126.691555245</v>
      </c>
      <c r="Z97" s="49"/>
      <c r="AA97" s="41">
        <f>AA96*(1+F96)</f>
        <v>244.58013482297497</v>
      </c>
      <c r="AC97" s="58"/>
      <c r="AD97" s="61">
        <f>AD96*(1+F96)</f>
        <v>59720581.978041053</v>
      </c>
      <c r="AF97" s="49"/>
      <c r="AG97" s="41">
        <f t="shared" si="11"/>
        <v>166.58369667024809</v>
      </c>
    </row>
    <row r="98" spans="2:33" x14ac:dyDescent="0.15">
      <c r="B98" s="340"/>
      <c r="C98" s="68">
        <v>39356</v>
      </c>
      <c r="D98" s="24">
        <v>375.09855539673856</v>
      </c>
      <c r="E98" s="25">
        <f t="shared" si="19"/>
        <v>383.19711720152259</v>
      </c>
      <c r="F98" s="76">
        <f t="shared" si="20"/>
        <v>-4.0736495023777778E-3</v>
      </c>
      <c r="H98" s="82"/>
      <c r="I98" s="41">
        <f t="shared" si="18"/>
        <v>36.652884875975928</v>
      </c>
      <c r="K98" s="82"/>
      <c r="L98" s="41">
        <f>L97*(1+F97)</f>
        <v>44.309055550101526</v>
      </c>
      <c r="N98" s="49"/>
      <c r="O98" s="41">
        <f>O97*(1+F97)</f>
        <v>56.63678799149028</v>
      </c>
      <c r="Q98" s="58"/>
      <c r="R98" s="61">
        <f>R97*(1+F97)</f>
        <v>9130779.8178324271</v>
      </c>
      <c r="T98" s="58"/>
      <c r="U98" s="61">
        <f>U97*(1+F97)</f>
        <v>11030076.39492677</v>
      </c>
      <c r="W98" s="58"/>
      <c r="X98" s="61">
        <f>X97*(1+F97)</f>
        <v>14109060.286986537</v>
      </c>
      <c r="Z98" s="49"/>
      <c r="AA98" s="41">
        <f>AA97*(1+F97)</f>
        <v>244.07730546634741</v>
      </c>
      <c r="AC98" s="58"/>
      <c r="AD98" s="61">
        <f>AD97*(1+F97)</f>
        <v>59597803.152053505</v>
      </c>
      <c r="AF98" s="41">
        <v>56.64</v>
      </c>
      <c r="AG98" s="41">
        <f>AG97*(1+F97)</f>
        <v>166.24121925243995</v>
      </c>
    </row>
    <row r="99" spans="2:33" ht="11.25" thickBot="1" x14ac:dyDescent="0.2">
      <c r="B99" s="341"/>
      <c r="C99" s="70">
        <v>39387</v>
      </c>
      <c r="D99" s="28">
        <v>380.34919325794101</v>
      </c>
      <c r="E99" s="29">
        <f t="shared" si="19"/>
        <v>381.93881268763676</v>
      </c>
      <c r="F99" s="77">
        <f t="shared" si="20"/>
        <v>-3.2837003656895798E-3</v>
      </c>
      <c r="H99" s="83"/>
      <c r="I99" s="42">
        <f t="shared" si="18"/>
        <v>36.503573869740201</v>
      </c>
      <c r="K99" s="83"/>
      <c r="L99" s="42">
        <f>L98*(1+F98)</f>
        <v>44.128555988009026</v>
      </c>
      <c r="N99" s="50"/>
      <c r="O99" s="42">
        <f>O98*(1+F98)</f>
        <v>56.406069568272471</v>
      </c>
      <c r="Q99" s="59"/>
      <c r="R99" s="62">
        <f>R98*(1+F98)</f>
        <v>9093584.2211711928</v>
      </c>
      <c r="T99" s="59"/>
      <c r="U99" s="62">
        <f>U98*(1+F98)</f>
        <v>10985143.729709387</v>
      </c>
      <c r="W99" s="59"/>
      <c r="X99" s="62">
        <f>X98*(1+F98)</f>
        <v>14051584.920569437</v>
      </c>
      <c r="Z99" s="50"/>
      <c r="AA99" s="42">
        <f>AA98*(1+F98)</f>
        <v>243.08302007239271</v>
      </c>
      <c r="AC99" s="59"/>
      <c r="AD99" s="62">
        <f>AD98*(1+F98)</f>
        <v>59355022.590900332</v>
      </c>
      <c r="AF99" s="41">
        <f>AF98*(1+F98)</f>
        <v>56.409268492185326</v>
      </c>
      <c r="AG99" s="42">
        <f>AG98*(1+F98)</f>
        <v>165.56401079235758</v>
      </c>
    </row>
    <row r="100" spans="2:33" ht="11.25" thickBot="1" x14ac:dyDescent="0.2">
      <c r="AF100" s="41">
        <f>AF99*(1+F99)</f>
        <v>56.224037356609252</v>
      </c>
      <c r="AG100" s="42">
        <f>AG99*(1+F99)</f>
        <v>165.02034818957367</v>
      </c>
    </row>
    <row r="128" ht="11.25" thickBot="1" x14ac:dyDescent="0.2"/>
    <row r="129" spans="3:40" x14ac:dyDescent="0.15">
      <c r="W129" s="99"/>
      <c r="Z129" s="99"/>
    </row>
    <row r="130" spans="3:40" x14ac:dyDescent="0.15">
      <c r="C130" s="97" t="s">
        <v>40</v>
      </c>
      <c r="W130" s="100"/>
      <c r="Z130" s="100"/>
    </row>
    <row r="131" spans="3:40" x14ac:dyDescent="0.15">
      <c r="C131" s="97" t="s">
        <v>41</v>
      </c>
      <c r="W131" s="101">
        <v>11.43</v>
      </c>
      <c r="Z131" s="101">
        <v>4444584.91</v>
      </c>
      <c r="AN131" s="98">
        <v>1</v>
      </c>
    </row>
    <row r="132" spans="3:40" x14ac:dyDescent="0.15">
      <c r="W132" s="100">
        <v>11.43</v>
      </c>
      <c r="Z132" s="100">
        <v>4444584.91</v>
      </c>
      <c r="AN132" s="3">
        <v>1</v>
      </c>
    </row>
    <row r="133" spans="3:40" x14ac:dyDescent="0.15">
      <c r="W133" s="100">
        <v>11.43</v>
      </c>
      <c r="Z133" s="100">
        <v>4444584.91</v>
      </c>
      <c r="AN133" s="3">
        <v>1</v>
      </c>
    </row>
    <row r="134" spans="3:40" x14ac:dyDescent="0.15">
      <c r="W134" s="100">
        <v>11.43</v>
      </c>
      <c r="Z134" s="100">
        <v>4444584.91</v>
      </c>
      <c r="AN134" s="3">
        <v>1</v>
      </c>
    </row>
    <row r="135" spans="3:40" x14ac:dyDescent="0.15">
      <c r="W135" s="100">
        <v>11.43</v>
      </c>
      <c r="Z135" s="100">
        <v>4444584.91</v>
      </c>
      <c r="AN135" s="3">
        <v>1</v>
      </c>
    </row>
    <row r="136" spans="3:40" x14ac:dyDescent="0.15">
      <c r="W136" s="100">
        <v>11.43</v>
      </c>
      <c r="Z136" s="100">
        <v>4444584.91</v>
      </c>
      <c r="AN136" s="3">
        <v>1</v>
      </c>
    </row>
    <row r="137" spans="3:40" x14ac:dyDescent="0.15">
      <c r="W137" s="100">
        <v>11.43</v>
      </c>
      <c r="Z137" s="100">
        <v>4444584.91</v>
      </c>
      <c r="AN137" s="3">
        <v>1</v>
      </c>
    </row>
    <row r="138" spans="3:40" x14ac:dyDescent="0.15">
      <c r="W138" s="100">
        <v>11.43</v>
      </c>
      <c r="Z138" s="100">
        <v>4444584.91</v>
      </c>
      <c r="AN138" s="3">
        <v>1</v>
      </c>
    </row>
    <row r="139" spans="3:40" x14ac:dyDescent="0.15">
      <c r="W139" s="100">
        <v>11.43</v>
      </c>
      <c r="Z139" s="100">
        <v>4444584.91</v>
      </c>
      <c r="AN139" s="3">
        <v>1</v>
      </c>
    </row>
    <row r="140" spans="3:40" x14ac:dyDescent="0.15">
      <c r="W140" s="100">
        <v>11.43</v>
      </c>
      <c r="Z140" s="100">
        <v>4444584.91</v>
      </c>
      <c r="AN140" s="3">
        <v>1</v>
      </c>
    </row>
    <row r="141" spans="3:40" ht="11.25" thickBot="1" x14ac:dyDescent="0.2">
      <c r="W141" s="102">
        <v>11.43</v>
      </c>
      <c r="Z141" s="102">
        <v>4444584.91</v>
      </c>
      <c r="AN141" s="3">
        <v>1</v>
      </c>
    </row>
  </sheetData>
  <mergeCells count="25">
    <mergeCell ref="Z6:AA6"/>
    <mergeCell ref="B10:B16"/>
    <mergeCell ref="AF6:AG6"/>
    <mergeCell ref="AF4:AG4"/>
    <mergeCell ref="H4:X4"/>
    <mergeCell ref="Z4:AD4"/>
    <mergeCell ref="H6:O6"/>
    <mergeCell ref="Q6:X6"/>
    <mergeCell ref="AC6:AD6"/>
    <mergeCell ref="B89:B99"/>
    <mergeCell ref="AF8:AG8"/>
    <mergeCell ref="B41:B52"/>
    <mergeCell ref="K8:L8"/>
    <mergeCell ref="B29:B40"/>
    <mergeCell ref="B53:B64"/>
    <mergeCell ref="Z8:AA8"/>
    <mergeCell ref="AC8:AD8"/>
    <mergeCell ref="B17:B28"/>
    <mergeCell ref="H8:I8"/>
    <mergeCell ref="N8:O8"/>
    <mergeCell ref="B65:B76"/>
    <mergeCell ref="B77:B88"/>
    <mergeCell ref="Q8:R8"/>
    <mergeCell ref="T8:U8"/>
    <mergeCell ref="W8:X8"/>
  </mergeCells>
  <phoneticPr fontId="4" type="noConversion"/>
  <pageMargins left="0.75" right="0.75" top="1" bottom="1" header="0" footer="0"/>
  <pageSetup orientation="portrait" r:id="rId1"/>
  <headerFooter alignWithMargins="0"/>
  <ignoredErrors>
    <ignoredError sqref="E42:E64 E23:E28 E30:E40 E66:E9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86"/>
  <sheetViews>
    <sheetView tabSelected="1" zoomScaleNormal="100" workbookViewId="0">
      <pane xSplit="6" ySplit="7" topLeftCell="G150" activePane="bottomRight" state="frozenSplit"/>
      <selection activeCell="C121" sqref="C121"/>
      <selection pane="topRight" activeCell="C121" sqref="C121"/>
      <selection pane="bottomLeft" activeCell="C121" sqref="C121"/>
      <selection pane="bottomRight" activeCell="I166" sqref="I166"/>
    </sheetView>
  </sheetViews>
  <sheetFormatPr baseColWidth="10" defaultColWidth="11.42578125" defaultRowHeight="10.5" x14ac:dyDescent="0.15"/>
  <cols>
    <col min="1" max="1" width="1" style="253" customWidth="1"/>
    <col min="2" max="2" width="5.28515625" style="103" bestFit="1" customWidth="1"/>
    <col min="3" max="3" width="15.28515625" style="104" bestFit="1" customWidth="1"/>
    <col min="4" max="4" width="9.85546875" style="105" customWidth="1"/>
    <col min="5" max="5" width="9.5703125" style="104" bestFit="1" customWidth="1"/>
    <col min="6" max="6" width="9.5703125" style="106" bestFit="1" customWidth="1"/>
    <col min="7" max="7" width="2.85546875" style="253" customWidth="1"/>
    <col min="8" max="9" width="10.7109375" style="104" customWidth="1"/>
    <col min="10" max="11" width="1" style="253" customWidth="1"/>
    <col min="12" max="12" width="10.85546875" style="104" customWidth="1"/>
    <col min="13" max="13" width="10.7109375" style="104" customWidth="1"/>
    <col min="14" max="14" width="1.7109375" style="253" customWidth="1"/>
    <col min="15" max="15" width="12.7109375" style="104" bestFit="1" customWidth="1"/>
    <col min="16" max="16" width="14.28515625" style="104" bestFit="1" customWidth="1"/>
    <col min="17" max="18" width="1" style="104" customWidth="1"/>
    <col min="19" max="19" width="11.28515625" style="104" customWidth="1"/>
    <col min="20" max="20" width="13.7109375" style="104" bestFit="1" customWidth="1"/>
    <col min="21" max="21" width="1.5703125" style="253" customWidth="1"/>
    <col min="22" max="23" width="13.7109375" style="104" customWidth="1"/>
    <col min="24" max="24" width="1.5703125" style="253" customWidth="1"/>
    <col min="25" max="25" width="14.28515625" style="104" customWidth="1"/>
    <col min="26" max="26" width="13.7109375" style="104" customWidth="1"/>
    <col min="27" max="27" width="4.7109375" style="253" customWidth="1"/>
    <col min="28" max="29" width="13.28515625" style="104" customWidth="1"/>
    <col min="30" max="30" width="2.7109375" style="104" customWidth="1"/>
    <col min="31" max="32" width="13.28515625" style="104" customWidth="1"/>
    <col min="33" max="33" width="4.7109375" style="253" customWidth="1"/>
    <col min="34" max="34" width="10.42578125" style="104" customWidth="1"/>
    <col min="35" max="35" width="10" style="104" bestFit="1" customWidth="1"/>
    <col min="36" max="36" width="4.7109375" style="253" customWidth="1"/>
    <col min="37" max="37" width="11.42578125" style="104" customWidth="1"/>
    <col min="38" max="39" width="19.140625" style="104" customWidth="1"/>
    <col min="40" max="40" width="4.7109375" style="253" customWidth="1"/>
    <col min="41" max="42" width="16.5703125" style="104" customWidth="1"/>
    <col min="43" max="43" width="4.7109375" style="253" customWidth="1"/>
    <col min="44" max="44" width="11.42578125" style="104"/>
    <col min="45" max="45" width="14.28515625" style="104" customWidth="1"/>
    <col min="46" max="46" width="1.85546875" style="253" customWidth="1"/>
    <col min="47" max="48" width="17.85546875" style="104" customWidth="1"/>
    <col min="49" max="49" width="4.7109375" style="253" customWidth="1"/>
    <col min="50" max="50" width="12.5703125" style="104" bestFit="1" customWidth="1"/>
    <col min="51" max="51" width="11.42578125" style="104"/>
    <col min="52" max="52" width="1.85546875" style="253" customWidth="1"/>
    <col min="53" max="53" width="12.5703125" style="104" bestFit="1" customWidth="1"/>
    <col min="54" max="54" width="11.42578125" style="104"/>
    <col min="55" max="55" width="4.7109375" style="253" customWidth="1"/>
    <col min="56" max="56" width="12.5703125" style="104" customWidth="1"/>
    <col min="57" max="58" width="11.42578125" style="104"/>
    <col min="59" max="59" width="1.85546875" style="253" customWidth="1"/>
    <col min="60" max="62" width="11.42578125" style="104"/>
    <col min="63" max="63" width="1.85546875" style="253" customWidth="1"/>
    <col min="64" max="65" width="14" style="104" customWidth="1"/>
    <col min="66" max="74" width="11.42578125" style="253"/>
    <col min="75" max="16384" width="11.42578125" style="104"/>
  </cols>
  <sheetData>
    <row r="1" spans="2:65" s="253" customFormat="1" ht="4.5" customHeight="1" thickBot="1" x14ac:dyDescent="0.2">
      <c r="B1" s="103"/>
      <c r="C1" s="104"/>
      <c r="D1" s="105"/>
      <c r="E1" s="104"/>
      <c r="F1" s="106"/>
      <c r="H1" s="104"/>
      <c r="I1" s="104"/>
      <c r="L1" s="104"/>
      <c r="M1" s="104"/>
      <c r="O1" s="104"/>
      <c r="P1" s="104"/>
      <c r="Q1" s="104"/>
      <c r="R1" s="104"/>
      <c r="S1" s="104"/>
      <c r="T1" s="104"/>
      <c r="V1" s="104"/>
      <c r="W1" s="104"/>
      <c r="Y1" s="104"/>
      <c r="Z1" s="104"/>
      <c r="AB1" s="104"/>
      <c r="AC1" s="104"/>
      <c r="AD1" s="104"/>
      <c r="AE1" s="104"/>
      <c r="AF1" s="104"/>
      <c r="AH1" s="104"/>
      <c r="AI1" s="104"/>
      <c r="AK1" s="104"/>
      <c r="AL1" s="104"/>
      <c r="AM1" s="104"/>
      <c r="AO1" s="104"/>
      <c r="AP1" s="104"/>
      <c r="AR1" s="104"/>
      <c r="AS1" s="104"/>
      <c r="AU1" s="104"/>
      <c r="AV1" s="104"/>
      <c r="AX1" s="104"/>
      <c r="AY1" s="104"/>
      <c r="BA1" s="104"/>
      <c r="BB1" s="104"/>
      <c r="BD1" s="104"/>
      <c r="BE1" s="104"/>
      <c r="BF1" s="104"/>
      <c r="BH1" s="104"/>
      <c r="BI1" s="104"/>
      <c r="BJ1" s="104"/>
      <c r="BL1" s="104"/>
      <c r="BM1" s="104"/>
    </row>
    <row r="2" spans="2:65" s="253" customFormat="1" ht="25.5" customHeight="1" thickBot="1" x14ac:dyDescent="0.2">
      <c r="B2" s="318" t="s">
        <v>7</v>
      </c>
      <c r="C2" s="104"/>
      <c r="D2" s="105"/>
      <c r="E2" s="104"/>
      <c r="F2" s="106"/>
      <c r="H2" s="394" t="s">
        <v>65</v>
      </c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6"/>
      <c r="U2" s="317"/>
      <c r="V2" s="394" t="s">
        <v>66</v>
      </c>
      <c r="W2" s="395"/>
      <c r="X2" s="395"/>
      <c r="Y2" s="395"/>
      <c r="Z2" s="396"/>
      <c r="AB2" s="381" t="s">
        <v>67</v>
      </c>
      <c r="AC2" s="382"/>
      <c r="AD2" s="382"/>
      <c r="AE2" s="382"/>
      <c r="AF2" s="383"/>
      <c r="AH2" s="387" t="s">
        <v>20</v>
      </c>
      <c r="AI2" s="388"/>
      <c r="AK2" s="384" t="s">
        <v>68</v>
      </c>
      <c r="AL2" s="385"/>
      <c r="AM2" s="386"/>
      <c r="AO2" s="425" t="s">
        <v>69</v>
      </c>
      <c r="AP2" s="426"/>
      <c r="AR2" s="416" t="s">
        <v>64</v>
      </c>
      <c r="AS2" s="417"/>
      <c r="AT2" s="417"/>
      <c r="AU2" s="417"/>
      <c r="AV2" s="418"/>
      <c r="AX2" s="419" t="s">
        <v>63</v>
      </c>
      <c r="AY2" s="420"/>
      <c r="AZ2" s="420"/>
      <c r="BA2" s="420"/>
      <c r="BB2" s="421"/>
      <c r="BD2" s="422" t="s">
        <v>62</v>
      </c>
      <c r="BE2" s="423"/>
      <c r="BF2" s="423"/>
      <c r="BG2" s="423"/>
      <c r="BH2" s="423"/>
      <c r="BI2" s="423"/>
      <c r="BJ2" s="423"/>
      <c r="BK2" s="423"/>
      <c r="BL2" s="423"/>
      <c r="BM2" s="424"/>
    </row>
    <row r="3" spans="2:65" s="253" customFormat="1" ht="5.25" customHeight="1" thickBot="1" x14ac:dyDescent="0.2">
      <c r="B3" s="103"/>
      <c r="C3" s="104"/>
      <c r="D3" s="105"/>
      <c r="E3" s="104"/>
      <c r="F3" s="106"/>
      <c r="H3" s="104"/>
      <c r="I3" s="104"/>
      <c r="L3" s="104"/>
      <c r="M3" s="104"/>
      <c r="O3" s="104"/>
      <c r="P3" s="104"/>
      <c r="Q3" s="104"/>
      <c r="R3" s="104"/>
      <c r="S3" s="104"/>
      <c r="T3" s="104"/>
      <c r="V3" s="104"/>
      <c r="W3" s="104"/>
      <c r="Y3" s="104"/>
      <c r="Z3" s="104"/>
      <c r="AB3" s="104"/>
      <c r="AC3" s="104"/>
      <c r="AD3" s="104"/>
      <c r="AE3" s="104"/>
      <c r="AF3" s="104"/>
      <c r="AH3" s="104"/>
      <c r="AI3" s="104"/>
      <c r="AK3" s="104"/>
      <c r="AL3" s="104"/>
      <c r="AM3" s="104"/>
      <c r="AO3" s="104"/>
      <c r="AP3" s="104"/>
      <c r="AR3" s="104"/>
      <c r="AS3" s="104"/>
      <c r="AU3" s="104"/>
      <c r="AV3" s="104"/>
      <c r="AX3" s="104"/>
      <c r="AY3" s="104"/>
      <c r="BA3" s="104"/>
      <c r="BB3" s="104"/>
      <c r="BD3" s="104"/>
      <c r="BE3" s="104"/>
      <c r="BF3" s="104"/>
      <c r="BH3" s="104"/>
      <c r="BI3" s="104"/>
      <c r="BJ3" s="104"/>
      <c r="BL3" s="104"/>
      <c r="BM3" s="104"/>
    </row>
    <row r="4" spans="2:65" s="253" customFormat="1" ht="57.75" customHeight="1" thickBot="1" x14ac:dyDescent="0.25">
      <c r="B4" s="107" t="s">
        <v>21</v>
      </c>
      <c r="C4" s="104"/>
      <c r="D4"/>
      <c r="E4" s="104"/>
      <c r="F4" s="106"/>
      <c r="H4" s="391" t="s">
        <v>18</v>
      </c>
      <c r="I4" s="392"/>
      <c r="J4" s="392"/>
      <c r="K4" s="392"/>
      <c r="L4" s="392"/>
      <c r="M4" s="393"/>
      <c r="N4" s="316"/>
      <c r="O4" s="391" t="s">
        <v>22</v>
      </c>
      <c r="P4" s="392"/>
      <c r="Q4" s="392"/>
      <c r="R4" s="392"/>
      <c r="S4" s="392"/>
      <c r="T4" s="393"/>
      <c r="V4" s="389" t="s">
        <v>16</v>
      </c>
      <c r="W4" s="390"/>
      <c r="X4" s="108"/>
      <c r="Y4" s="389" t="s">
        <v>17</v>
      </c>
      <c r="Z4" s="390"/>
      <c r="AB4" s="389" t="s">
        <v>16</v>
      </c>
      <c r="AC4" s="390"/>
      <c r="AD4" s="108"/>
      <c r="AE4" s="389" t="s">
        <v>17</v>
      </c>
      <c r="AF4" s="390"/>
      <c r="AH4" s="389" t="s">
        <v>16</v>
      </c>
      <c r="AI4" s="390"/>
      <c r="AK4" s="389" t="s">
        <v>16</v>
      </c>
      <c r="AL4" s="398"/>
      <c r="AM4" s="390"/>
      <c r="AO4" s="403" t="s">
        <v>39</v>
      </c>
      <c r="AP4" s="404"/>
      <c r="AR4" s="415" t="s">
        <v>25</v>
      </c>
      <c r="AS4" s="404"/>
      <c r="AU4" s="415" t="s">
        <v>60</v>
      </c>
      <c r="AV4" s="404"/>
      <c r="AX4" s="400" t="s">
        <v>23</v>
      </c>
      <c r="AY4" s="402"/>
      <c r="BA4" s="400" t="s">
        <v>24</v>
      </c>
      <c r="BB4" s="402"/>
      <c r="BD4" s="400" t="s">
        <v>44</v>
      </c>
      <c r="BE4" s="401"/>
      <c r="BF4" s="402"/>
      <c r="BH4" s="400" t="s">
        <v>38</v>
      </c>
      <c r="BI4" s="401"/>
      <c r="BJ4" s="402"/>
      <c r="BL4" s="400" t="s">
        <v>58</v>
      </c>
      <c r="BM4" s="402"/>
    </row>
    <row r="5" spans="2:65" s="253" customFormat="1" ht="5.25" customHeight="1" thickBot="1" x14ac:dyDescent="0.2">
      <c r="B5" s="103"/>
      <c r="C5" s="104"/>
      <c r="D5" s="105"/>
      <c r="E5" s="104"/>
      <c r="F5" s="106"/>
      <c r="H5" s="104"/>
      <c r="I5" s="104"/>
      <c r="L5" s="104"/>
      <c r="M5" s="104"/>
      <c r="O5" s="104"/>
      <c r="P5" s="104"/>
      <c r="Q5" s="104"/>
      <c r="R5" s="104"/>
      <c r="S5" s="104"/>
      <c r="T5" s="104"/>
      <c r="V5" s="104"/>
      <c r="W5" s="104"/>
      <c r="Y5" s="104"/>
      <c r="Z5" s="104"/>
      <c r="AB5" s="104"/>
      <c r="AC5" s="104"/>
      <c r="AD5" s="104"/>
      <c r="AE5" s="104"/>
      <c r="AF5" s="104"/>
      <c r="AH5" s="104"/>
      <c r="AI5" s="104"/>
      <c r="AK5" s="104"/>
      <c r="AL5" s="104"/>
      <c r="AM5" s="104"/>
      <c r="AO5" s="104"/>
      <c r="AP5" s="104"/>
      <c r="AR5" s="104"/>
      <c r="AS5" s="104"/>
      <c r="AU5" s="104"/>
      <c r="AV5" s="104"/>
      <c r="AX5" s="104"/>
      <c r="AY5" s="104"/>
      <c r="BA5" s="104"/>
      <c r="BB5" s="104"/>
      <c r="BD5" s="104"/>
      <c r="BE5" s="104"/>
      <c r="BF5" s="104"/>
      <c r="BH5" s="104"/>
      <c r="BI5" s="104"/>
      <c r="BJ5" s="104"/>
      <c r="BL5" s="104"/>
      <c r="BM5" s="104"/>
    </row>
    <row r="6" spans="2:65" s="329" customFormat="1" ht="27" customHeight="1" thickBot="1" x14ac:dyDescent="0.25">
      <c r="B6" s="326"/>
      <c r="C6" s="327"/>
      <c r="D6" s="327"/>
      <c r="E6" s="327"/>
      <c r="F6" s="328"/>
      <c r="H6" s="346" t="s">
        <v>53</v>
      </c>
      <c r="I6" s="372"/>
      <c r="L6" s="346" t="s">
        <v>54</v>
      </c>
      <c r="M6" s="372"/>
      <c r="O6" s="346" t="s">
        <v>53</v>
      </c>
      <c r="P6" s="372"/>
      <c r="Q6" s="327"/>
      <c r="R6" s="327"/>
      <c r="S6" s="346" t="s">
        <v>54</v>
      </c>
      <c r="T6" s="372"/>
      <c r="V6" s="346" t="s">
        <v>56</v>
      </c>
      <c r="W6" s="372"/>
      <c r="X6" s="327"/>
      <c r="Y6" s="346" t="s">
        <v>56</v>
      </c>
      <c r="Z6" s="372"/>
      <c r="AB6" s="399" t="s">
        <v>47</v>
      </c>
      <c r="AC6" s="372"/>
      <c r="AD6" s="327"/>
      <c r="AE6" s="399" t="s">
        <v>47</v>
      </c>
      <c r="AF6" s="372"/>
      <c r="AH6" s="346" t="s">
        <v>57</v>
      </c>
      <c r="AI6" s="372"/>
      <c r="AK6" s="346" t="s">
        <v>55</v>
      </c>
      <c r="AL6" s="397"/>
      <c r="AM6" s="372"/>
      <c r="AO6" s="346" t="s">
        <v>52</v>
      </c>
      <c r="AP6" s="372"/>
      <c r="AR6" s="399" t="s">
        <v>48</v>
      </c>
      <c r="AS6" s="372"/>
      <c r="AU6" s="346" t="s">
        <v>61</v>
      </c>
      <c r="AV6" s="372"/>
      <c r="AX6" s="346" t="s">
        <v>51</v>
      </c>
      <c r="AY6" s="372"/>
      <c r="BA6" s="346" t="s">
        <v>51</v>
      </c>
      <c r="BB6" s="372"/>
      <c r="BD6" s="399" t="s">
        <v>46</v>
      </c>
      <c r="BE6" s="397"/>
      <c r="BF6" s="372"/>
      <c r="BH6" s="399" t="s">
        <v>45</v>
      </c>
      <c r="BI6" s="397"/>
      <c r="BJ6" s="372"/>
      <c r="BL6" s="346" t="s">
        <v>59</v>
      </c>
      <c r="BM6" s="372"/>
    </row>
    <row r="7" spans="2:65" s="253" customFormat="1" ht="81.75" thickBot="1" x14ac:dyDescent="0.2">
      <c r="B7" s="320" t="s">
        <v>0</v>
      </c>
      <c r="C7" s="319" t="s">
        <v>1</v>
      </c>
      <c r="D7" s="319" t="s">
        <v>2</v>
      </c>
      <c r="E7" s="109" t="s">
        <v>3</v>
      </c>
      <c r="F7" s="110" t="s">
        <v>4</v>
      </c>
      <c r="H7" s="111" t="s">
        <v>6</v>
      </c>
      <c r="I7" s="112" t="s">
        <v>5</v>
      </c>
      <c r="L7" s="111" t="s">
        <v>6</v>
      </c>
      <c r="M7" s="112" t="s">
        <v>5</v>
      </c>
      <c r="O7" s="111" t="s">
        <v>9</v>
      </c>
      <c r="P7" s="112" t="s">
        <v>10</v>
      </c>
      <c r="Q7" s="104"/>
      <c r="R7" s="104"/>
      <c r="S7" s="111" t="s">
        <v>9</v>
      </c>
      <c r="T7" s="112" t="s">
        <v>10</v>
      </c>
      <c r="V7" s="111" t="s">
        <v>6</v>
      </c>
      <c r="W7" s="112" t="s">
        <v>5</v>
      </c>
      <c r="X7" s="104"/>
      <c r="Y7" s="111" t="s">
        <v>9</v>
      </c>
      <c r="Z7" s="112" t="s">
        <v>10</v>
      </c>
      <c r="AB7" s="111" t="s">
        <v>6</v>
      </c>
      <c r="AC7" s="112" t="s">
        <v>5</v>
      </c>
      <c r="AD7" s="104"/>
      <c r="AE7" s="111" t="s">
        <v>9</v>
      </c>
      <c r="AF7" s="112" t="s">
        <v>10</v>
      </c>
      <c r="AH7" s="111" t="s">
        <v>30</v>
      </c>
      <c r="AI7" s="112" t="s">
        <v>31</v>
      </c>
      <c r="AK7" s="111" t="s">
        <v>32</v>
      </c>
      <c r="AL7" s="113" t="s">
        <v>34</v>
      </c>
      <c r="AM7" s="114" t="s">
        <v>33</v>
      </c>
      <c r="AO7" s="104"/>
      <c r="AP7" s="104"/>
      <c r="AR7" s="111" t="s">
        <v>26</v>
      </c>
      <c r="AS7" s="112" t="s">
        <v>27</v>
      </c>
      <c r="AU7" s="111" t="s">
        <v>26</v>
      </c>
      <c r="AV7" s="112" t="s">
        <v>27</v>
      </c>
      <c r="AX7" s="111" t="s">
        <v>28</v>
      </c>
      <c r="AY7" s="112" t="s">
        <v>29</v>
      </c>
      <c r="BA7" s="111" t="s">
        <v>28</v>
      </c>
      <c r="BB7" s="112" t="s">
        <v>29</v>
      </c>
      <c r="BD7" s="322" t="s">
        <v>35</v>
      </c>
      <c r="BE7" s="322" t="s">
        <v>36</v>
      </c>
      <c r="BF7" s="322" t="s">
        <v>37</v>
      </c>
      <c r="BH7" s="322" t="s">
        <v>35</v>
      </c>
      <c r="BI7" s="322" t="s">
        <v>36</v>
      </c>
      <c r="BJ7" s="322" t="s">
        <v>37</v>
      </c>
      <c r="BL7" s="322" t="s">
        <v>35</v>
      </c>
      <c r="BM7" s="414" t="s">
        <v>36</v>
      </c>
    </row>
    <row r="8" spans="2:65" s="253" customFormat="1" ht="11.25" thickBot="1" x14ac:dyDescent="0.2">
      <c r="B8" s="115">
        <v>2006</v>
      </c>
      <c r="C8" s="171">
        <v>39052</v>
      </c>
      <c r="D8" s="172">
        <f>'CA antes de Res 1763 de 2007'!D88</f>
        <v>385.05877628624228</v>
      </c>
      <c r="E8" s="173">
        <f>'CA antes de Res 1763 de 2007'!E88</f>
        <v>390.44158801743339</v>
      </c>
      <c r="F8" s="174">
        <f>'CA antes de Res 1763 de 2007'!F88</f>
        <v>3.3174289258647224E-3</v>
      </c>
      <c r="H8" s="140"/>
      <c r="I8" s="141"/>
      <c r="L8" s="118"/>
      <c r="M8" s="119"/>
      <c r="O8" s="140"/>
      <c r="P8" s="141"/>
      <c r="Q8" s="104"/>
      <c r="R8" s="104"/>
      <c r="S8" s="118"/>
      <c r="T8" s="119"/>
      <c r="AB8" s="140"/>
      <c r="AC8" s="141"/>
      <c r="AD8" s="104"/>
      <c r="AE8" s="118"/>
      <c r="AF8" s="119"/>
      <c r="AH8" s="230"/>
      <c r="AI8" s="231">
        <f>'CA antes de Res 1763 de 2007'!AG88</f>
        <v>171.56762668257622</v>
      </c>
      <c r="AK8" s="255"/>
      <c r="AL8" s="256"/>
      <c r="AM8" s="168"/>
      <c r="AO8" s="104"/>
      <c r="AP8" s="104"/>
      <c r="AR8" s="104"/>
      <c r="AS8" s="104"/>
      <c r="AU8" s="104"/>
      <c r="AV8" s="104"/>
      <c r="AX8" s="104"/>
      <c r="AY8" s="104"/>
      <c r="BA8" s="104"/>
      <c r="BB8" s="104"/>
      <c r="BD8" s="104"/>
      <c r="BE8" s="104"/>
      <c r="BF8" s="104"/>
      <c r="BH8" s="104"/>
      <c r="BI8" s="104"/>
      <c r="BJ8" s="104"/>
      <c r="BL8" s="104"/>
      <c r="BM8" s="104"/>
    </row>
    <row r="9" spans="2:65" s="253" customFormat="1" x14ac:dyDescent="0.15">
      <c r="B9" s="409">
        <v>2007</v>
      </c>
      <c r="C9" s="175">
        <v>39083</v>
      </c>
      <c r="D9" s="176">
        <f>'CA antes de Res 1763 de 2007'!D89</f>
        <v>393.58681875853802</v>
      </c>
      <c r="E9" s="177">
        <f>'CA antes de Res 1763 de 2007'!E89</f>
        <v>391.37809068753882</v>
      </c>
      <c r="F9" s="178">
        <f>'CA antes de Res 1763 de 2007'!F89</f>
        <v>2.3985730486876591E-3</v>
      </c>
      <c r="H9" s="142"/>
      <c r="I9" s="143"/>
      <c r="L9" s="120"/>
      <c r="M9" s="121"/>
      <c r="O9" s="142"/>
      <c r="P9" s="143"/>
      <c r="Q9" s="104"/>
      <c r="R9" s="104"/>
      <c r="S9" s="120"/>
      <c r="T9" s="121"/>
      <c r="AB9" s="142"/>
      <c r="AC9" s="143"/>
      <c r="AD9" s="104"/>
      <c r="AE9" s="120"/>
      <c r="AF9" s="121"/>
      <c r="AH9" s="142"/>
      <c r="AI9" s="148">
        <f>'CA antes de Res 1763 de 2007'!AG89</f>
        <v>168.69405428827346</v>
      </c>
      <c r="AK9" s="120"/>
      <c r="AL9" s="257"/>
      <c r="AM9" s="132"/>
      <c r="AO9" s="104"/>
      <c r="AP9" s="104"/>
      <c r="AR9" s="104"/>
      <c r="AS9" s="104"/>
      <c r="AU9" s="104"/>
      <c r="AV9" s="104"/>
      <c r="AX9" s="104"/>
      <c r="AY9" s="104"/>
      <c r="BA9" s="104"/>
      <c r="BB9" s="104"/>
      <c r="BD9" s="104"/>
      <c r="BE9" s="104"/>
      <c r="BF9" s="104"/>
      <c r="BH9" s="104"/>
      <c r="BI9" s="104"/>
      <c r="BJ9" s="104"/>
      <c r="BL9" s="104"/>
      <c r="BM9" s="104"/>
    </row>
    <row r="10" spans="2:65" s="253" customFormat="1" x14ac:dyDescent="0.15">
      <c r="B10" s="410"/>
      <c r="C10" s="179">
        <v>39114</v>
      </c>
      <c r="D10" s="180">
        <f>'CA antes de Res 1763 de 2007'!D90</f>
        <v>391.50905140998225</v>
      </c>
      <c r="E10" s="181">
        <f>'CA antes de Res 1763 de 2007'!E90</f>
        <v>392.43230656772158</v>
      </c>
      <c r="F10" s="182">
        <f>'CA antes de Res 1763 de 2007'!F90</f>
        <v>2.6935996297871773E-3</v>
      </c>
      <c r="H10" s="144"/>
      <c r="I10" s="145"/>
      <c r="L10" s="122"/>
      <c r="M10" s="123"/>
      <c r="O10" s="144"/>
      <c r="P10" s="145"/>
      <c r="Q10" s="104"/>
      <c r="R10" s="104"/>
      <c r="S10" s="122"/>
      <c r="T10" s="123"/>
      <c r="AB10" s="144"/>
      <c r="AC10" s="145"/>
      <c r="AD10" s="104"/>
      <c r="AE10" s="122"/>
      <c r="AF10" s="123"/>
      <c r="AH10" s="144"/>
      <c r="AI10" s="149">
        <f>'CA antes de Res 1763 de 2007'!AG90</f>
        <v>169.09867930036319</v>
      </c>
      <c r="AK10" s="122"/>
      <c r="AL10" s="258"/>
      <c r="AM10" s="132"/>
      <c r="AO10" s="104"/>
      <c r="AP10" s="104"/>
      <c r="AR10" s="104"/>
      <c r="AS10" s="104"/>
      <c r="AU10" s="104"/>
      <c r="AV10" s="104"/>
      <c r="AX10" s="104"/>
      <c r="AY10" s="104"/>
      <c r="BA10" s="104"/>
      <c r="BB10" s="104"/>
      <c r="BD10" s="104"/>
      <c r="BE10" s="104"/>
      <c r="BF10" s="104"/>
      <c r="BH10" s="104"/>
      <c r="BI10" s="104"/>
      <c r="BJ10" s="104"/>
      <c r="BL10" s="104"/>
      <c r="BM10" s="104"/>
    </row>
    <row r="11" spans="2:65" s="253" customFormat="1" x14ac:dyDescent="0.15">
      <c r="B11" s="410"/>
      <c r="C11" s="179">
        <v>39142</v>
      </c>
      <c r="D11" s="180">
        <f>'CA antes de Res 1763 de 2007'!D91</f>
        <v>389.59014493476235</v>
      </c>
      <c r="E11" s="181">
        <f>'CA antes de Res 1763 de 2007'!E91</f>
        <v>393.39390391445767</v>
      </c>
      <c r="F11" s="182">
        <f>'CA antes de Res 1763 de 2007'!F91</f>
        <v>2.4503521515503537E-3</v>
      </c>
      <c r="H11" s="144"/>
      <c r="I11" s="145"/>
      <c r="L11" s="122"/>
      <c r="M11" s="123"/>
      <c r="O11" s="144"/>
      <c r="P11" s="145"/>
      <c r="Q11" s="104"/>
      <c r="R11" s="104"/>
      <c r="S11" s="122"/>
      <c r="T11" s="123"/>
      <c r="AB11" s="144"/>
      <c r="AC11" s="145"/>
      <c r="AD11" s="104"/>
      <c r="AE11" s="122"/>
      <c r="AF11" s="123"/>
      <c r="AH11" s="144"/>
      <c r="AI11" s="149">
        <f>'CA antes de Res 1763 de 2007'!AG91</f>
        <v>169.55416344032415</v>
      </c>
      <c r="AK11" s="122"/>
      <c r="AL11" s="258"/>
      <c r="AM11" s="132"/>
      <c r="AO11" s="104"/>
      <c r="AP11" s="104"/>
      <c r="AR11" s="104"/>
      <c r="AS11" s="104"/>
      <c r="AU11" s="104"/>
      <c r="AV11" s="104"/>
      <c r="AX11" s="104"/>
      <c r="AY11" s="104"/>
      <c r="BA11" s="104"/>
      <c r="BB11" s="104"/>
      <c r="BD11" s="104"/>
      <c r="BE11" s="104"/>
      <c r="BF11" s="104"/>
      <c r="BH11" s="104"/>
      <c r="BI11" s="104"/>
      <c r="BJ11" s="104"/>
      <c r="BL11" s="104"/>
      <c r="BM11" s="104"/>
    </row>
    <row r="12" spans="2:65" s="253" customFormat="1" x14ac:dyDescent="0.15">
      <c r="B12" s="410"/>
      <c r="C12" s="179">
        <v>39173</v>
      </c>
      <c r="D12" s="180">
        <f>'CA antes de Res 1763 de 2007'!D92</f>
        <v>384.05291260795315</v>
      </c>
      <c r="E12" s="181">
        <f>'CA antes de Res 1763 de 2007'!E92</f>
        <v>393.87192500533973</v>
      </c>
      <c r="F12" s="182">
        <f>'CA antes de Res 1763 de 2007'!F92</f>
        <v>1.2151207380834519E-3</v>
      </c>
      <c r="H12" s="144"/>
      <c r="I12" s="145"/>
      <c r="L12" s="122"/>
      <c r="M12" s="123"/>
      <c r="O12" s="144"/>
      <c r="P12" s="145"/>
      <c r="Q12" s="104"/>
      <c r="R12" s="104"/>
      <c r="S12" s="122"/>
      <c r="T12" s="123"/>
      <c r="AB12" s="144"/>
      <c r="AC12" s="145"/>
      <c r="AD12" s="104"/>
      <c r="AE12" s="122"/>
      <c r="AF12" s="123"/>
      <c r="AH12" s="144"/>
      <c r="AI12" s="149">
        <f>'CA antes de Res 1763 de 2007'!AG92</f>
        <v>169.96963084951449</v>
      </c>
      <c r="AK12" s="122"/>
      <c r="AL12" s="258"/>
      <c r="AM12" s="132"/>
      <c r="AO12" s="104"/>
      <c r="AP12" s="104"/>
      <c r="AR12" s="104"/>
      <c r="AS12" s="104"/>
      <c r="AU12" s="104"/>
      <c r="AV12" s="104"/>
      <c r="AX12" s="104"/>
      <c r="AY12" s="104"/>
      <c r="BA12" s="104"/>
      <c r="BB12" s="104"/>
      <c r="BD12" s="104"/>
      <c r="BE12" s="104"/>
      <c r="BF12" s="104"/>
      <c r="BH12" s="104"/>
      <c r="BI12" s="104"/>
      <c r="BJ12" s="104"/>
      <c r="BL12" s="104"/>
      <c r="BM12" s="104"/>
    </row>
    <row r="13" spans="2:65" s="253" customFormat="1" x14ac:dyDescent="0.15">
      <c r="B13" s="410"/>
      <c r="C13" s="179">
        <v>39203</v>
      </c>
      <c r="D13" s="180">
        <f>'CA antes de Res 1763 de 2007'!D93</f>
        <v>370.1479664189954</v>
      </c>
      <c r="E13" s="181">
        <f>'CA antes de Res 1763 de 2007'!E93</f>
        <v>393.25648663697035</v>
      </c>
      <c r="F13" s="182">
        <f>'CA antes de Res 1763 de 2007'!F93</f>
        <v>-1.562534238410211E-3</v>
      </c>
      <c r="H13" s="144"/>
      <c r="I13" s="145"/>
      <c r="L13" s="122"/>
      <c r="M13" s="123"/>
      <c r="O13" s="144"/>
      <c r="P13" s="145"/>
      <c r="Q13" s="104"/>
      <c r="R13" s="104"/>
      <c r="S13" s="122"/>
      <c r="T13" s="123"/>
      <c r="AB13" s="144"/>
      <c r="AC13" s="145"/>
      <c r="AD13" s="104"/>
      <c r="AE13" s="122"/>
      <c r="AF13" s="123"/>
      <c r="AH13" s="144"/>
      <c r="AI13" s="149">
        <f>'CA antes de Res 1763 de 2007'!AG93</f>
        <v>170.17616447280412</v>
      </c>
      <c r="AK13" s="122"/>
      <c r="AL13" s="258"/>
      <c r="AM13" s="132"/>
      <c r="AO13" s="104"/>
      <c r="AP13" s="104"/>
      <c r="AR13" s="104"/>
      <c r="AS13" s="104"/>
      <c r="AU13" s="104"/>
      <c r="AV13" s="104"/>
      <c r="AX13" s="104"/>
      <c r="AY13" s="104"/>
      <c r="BA13" s="104"/>
      <c r="BB13" s="104"/>
      <c r="BD13" s="104"/>
      <c r="BE13" s="104"/>
      <c r="BF13" s="104"/>
      <c r="BH13" s="104"/>
      <c r="BI13" s="104"/>
      <c r="BJ13" s="104"/>
      <c r="BL13" s="104"/>
      <c r="BM13" s="104"/>
    </row>
    <row r="14" spans="2:65" s="253" customFormat="1" x14ac:dyDescent="0.15">
      <c r="B14" s="410"/>
      <c r="C14" s="179">
        <v>39234</v>
      </c>
      <c r="D14" s="180">
        <f>'CA antes de Res 1763 de 2007'!D94</f>
        <v>371.32288112593784</v>
      </c>
      <c r="E14" s="181">
        <f>'CA antes de Res 1763 de 2007'!E94</f>
        <v>390.84844031906897</v>
      </c>
      <c r="F14" s="182">
        <f>'CA antes de Res 1763 de 2007'!F94</f>
        <v>-6.1233479922845804E-3</v>
      </c>
      <c r="H14" s="144"/>
      <c r="I14" s="145"/>
      <c r="L14" s="122"/>
      <c r="M14" s="123"/>
      <c r="O14" s="144"/>
      <c r="P14" s="145"/>
      <c r="Q14" s="104"/>
      <c r="R14" s="104"/>
      <c r="S14" s="122"/>
      <c r="T14" s="123"/>
      <c r="AB14" s="144"/>
      <c r="AC14" s="145"/>
      <c r="AD14" s="104"/>
      <c r="AE14" s="122"/>
      <c r="AF14" s="123"/>
      <c r="AH14" s="144"/>
      <c r="AI14" s="149">
        <f>'CA antes de Res 1763 de 2007'!AG94</f>
        <v>169.91025838925404</v>
      </c>
      <c r="AK14" s="122"/>
      <c r="AL14" s="258"/>
      <c r="AM14" s="132"/>
      <c r="AO14" s="104"/>
      <c r="AP14" s="104"/>
      <c r="AR14" s="104"/>
      <c r="AS14" s="104"/>
      <c r="AU14" s="104"/>
      <c r="AV14" s="104"/>
      <c r="AX14" s="104"/>
      <c r="AY14" s="104"/>
      <c r="BA14" s="104"/>
      <c r="BB14" s="104"/>
      <c r="BD14" s="104"/>
      <c r="BE14" s="104"/>
      <c r="BF14" s="104"/>
      <c r="BH14" s="104"/>
      <c r="BI14" s="104"/>
      <c r="BJ14" s="104"/>
      <c r="BL14" s="104"/>
      <c r="BM14" s="104"/>
    </row>
    <row r="15" spans="2:65" s="253" customFormat="1" x14ac:dyDescent="0.15">
      <c r="B15" s="410"/>
      <c r="C15" s="179">
        <v>39264</v>
      </c>
      <c r="D15" s="180">
        <f>'CA antes de Res 1763 de 2007'!D95</f>
        <v>371.53450562600375</v>
      </c>
      <c r="E15" s="181">
        <f>'CA antes de Res 1763 de 2007'!E95</f>
        <v>387.69141640141623</v>
      </c>
      <c r="F15" s="182">
        <f>'CA antes de Res 1763 de 2007'!F95</f>
        <v>-8.0773609204516754E-3</v>
      </c>
      <c r="H15" s="144"/>
      <c r="I15" s="145"/>
      <c r="L15" s="122"/>
      <c r="M15" s="123"/>
      <c r="O15" s="144"/>
      <c r="P15" s="145"/>
      <c r="Q15" s="104"/>
      <c r="R15" s="104"/>
      <c r="S15" s="122"/>
      <c r="T15" s="123"/>
      <c r="AB15" s="144"/>
      <c r="AC15" s="145"/>
      <c r="AD15" s="104"/>
      <c r="AE15" s="122"/>
      <c r="AF15" s="123"/>
      <c r="AH15" s="144"/>
      <c r="AI15" s="149">
        <f>'CA antes de Res 1763 de 2007'!AG95</f>
        <v>168.86983874967765</v>
      </c>
      <c r="AK15" s="122"/>
      <c r="AL15" s="258"/>
      <c r="AM15" s="132"/>
      <c r="AO15" s="104"/>
      <c r="AP15" s="104"/>
      <c r="AR15" s="104"/>
      <c r="AS15" s="104"/>
      <c r="AU15" s="104"/>
      <c r="AV15" s="104"/>
      <c r="AX15" s="104"/>
      <c r="AY15" s="104"/>
      <c r="BA15" s="104"/>
      <c r="BB15" s="104"/>
      <c r="BD15" s="104"/>
      <c r="BE15" s="104"/>
      <c r="BF15" s="104"/>
      <c r="BH15" s="104"/>
      <c r="BI15" s="104"/>
      <c r="BJ15" s="104"/>
      <c r="BL15" s="104"/>
      <c r="BM15" s="104"/>
    </row>
    <row r="16" spans="2:65" s="253" customFormat="1" x14ac:dyDescent="0.15">
      <c r="B16" s="410"/>
      <c r="C16" s="179">
        <v>39295</v>
      </c>
      <c r="D16" s="180">
        <f>'CA antes de Res 1763 de 2007'!D96</f>
        <v>385.80027288040333</v>
      </c>
      <c r="E16" s="181">
        <f>'CA antes de Res 1763 de 2007'!E96</f>
        <v>385.5571753264058</v>
      </c>
      <c r="F16" s="182">
        <f>'CA antes de Res 1763 de 2007'!F96</f>
        <v>-5.5049995556276134E-3</v>
      </c>
      <c r="H16" s="144"/>
      <c r="I16" s="145"/>
      <c r="L16" s="122"/>
      <c r="M16" s="123"/>
      <c r="O16" s="144"/>
      <c r="P16" s="145"/>
      <c r="Q16" s="104"/>
      <c r="R16" s="104"/>
      <c r="S16" s="122"/>
      <c r="T16" s="123"/>
      <c r="AB16" s="144"/>
      <c r="AC16" s="145"/>
      <c r="AD16" s="104"/>
      <c r="AE16" s="122"/>
      <c r="AF16" s="123"/>
      <c r="AH16" s="144"/>
      <c r="AI16" s="149">
        <f>'CA antes de Res 1763 de 2007'!AG96</f>
        <v>167.50581611351805</v>
      </c>
      <c r="AK16" s="122"/>
      <c r="AL16" s="258"/>
      <c r="AM16" s="132"/>
      <c r="AO16" s="104"/>
      <c r="AP16" s="104"/>
      <c r="AR16" s="104"/>
      <c r="AS16" s="104"/>
      <c r="AU16" s="104"/>
      <c r="AV16" s="104"/>
      <c r="AX16" s="104"/>
      <c r="AY16" s="104"/>
      <c r="BA16" s="104"/>
      <c r="BB16" s="104"/>
      <c r="BD16" s="104"/>
      <c r="BE16" s="104"/>
      <c r="BF16" s="104"/>
      <c r="BH16" s="104"/>
      <c r="BI16" s="104"/>
      <c r="BJ16" s="104"/>
      <c r="BL16" s="104"/>
      <c r="BM16" s="104"/>
    </row>
    <row r="17" spans="2:65" s="253" customFormat="1" x14ac:dyDescent="0.15">
      <c r="B17" s="410"/>
      <c r="C17" s="179">
        <v>39326</v>
      </c>
      <c r="D17" s="180">
        <f>'CA antes de Res 1763 de 2007'!D97</f>
        <v>376.65009460431611</v>
      </c>
      <c r="E17" s="181">
        <f>'CA antes de Res 1763 de 2007'!E97</f>
        <v>384.76451296830857</v>
      </c>
      <c r="F17" s="182">
        <f>'CA antes de Res 1763 de 2007'!F97</f>
        <v>-2.0558879689534454E-3</v>
      </c>
      <c r="H17" s="144"/>
      <c r="I17" s="145"/>
      <c r="L17" s="122"/>
      <c r="M17" s="123"/>
      <c r="O17" s="144"/>
      <c r="P17" s="145"/>
      <c r="Q17" s="104"/>
      <c r="R17" s="104"/>
      <c r="S17" s="122"/>
      <c r="T17" s="123"/>
      <c r="AB17" s="144"/>
      <c r="AC17" s="145"/>
      <c r="AD17" s="104"/>
      <c r="AE17" s="122"/>
      <c r="AF17" s="123"/>
      <c r="AH17" s="144"/>
      <c r="AI17" s="149">
        <f>'CA antes de Res 1763 de 2007'!AG97</f>
        <v>166.58369667024809</v>
      </c>
      <c r="AK17" s="122"/>
      <c r="AL17" s="258"/>
      <c r="AM17" s="132"/>
      <c r="AO17" s="104"/>
      <c r="AP17" s="104"/>
      <c r="AR17" s="104"/>
      <c r="AS17" s="104"/>
      <c r="AU17" s="104"/>
      <c r="AV17" s="104"/>
      <c r="AX17" s="104"/>
      <c r="AY17" s="104"/>
      <c r="BA17" s="104"/>
      <c r="BB17" s="104"/>
      <c r="BD17" s="104"/>
      <c r="BE17" s="104"/>
      <c r="BF17" s="104"/>
      <c r="BH17" s="104"/>
      <c r="BI17" s="104"/>
      <c r="BJ17" s="104"/>
      <c r="BL17" s="104"/>
      <c r="BM17" s="104"/>
    </row>
    <row r="18" spans="2:65" s="253" customFormat="1" x14ac:dyDescent="0.15">
      <c r="B18" s="410"/>
      <c r="C18" s="179">
        <v>39356</v>
      </c>
      <c r="D18" s="180">
        <f>'CA antes de Res 1763 de 2007'!D98</f>
        <v>375.09855539673856</v>
      </c>
      <c r="E18" s="181">
        <f>'CA antes de Res 1763 de 2007'!E98</f>
        <v>383.19711720152259</v>
      </c>
      <c r="F18" s="182">
        <f>'CA antes de Res 1763 de 2007'!F98</f>
        <v>-4.0736495023777778E-3</v>
      </c>
      <c r="H18" s="144"/>
      <c r="I18" s="145"/>
      <c r="L18" s="122"/>
      <c r="M18" s="123"/>
      <c r="O18" s="144"/>
      <c r="P18" s="145"/>
      <c r="Q18" s="104"/>
      <c r="R18" s="104"/>
      <c r="S18" s="122"/>
      <c r="T18" s="123"/>
      <c r="AB18" s="144"/>
      <c r="AC18" s="145"/>
      <c r="AD18" s="104"/>
      <c r="AE18" s="122"/>
      <c r="AF18" s="123"/>
      <c r="AH18" s="232">
        <f>+'CA antes de Res 1763 de 2007'!AF98</f>
        <v>56.64</v>
      </c>
      <c r="AI18" s="149">
        <f>'CA antes de Res 1763 de 2007'!AG98</f>
        <v>166.24121925243995</v>
      </c>
      <c r="AK18" s="259"/>
      <c r="AL18" s="258"/>
      <c r="AM18" s="132"/>
      <c r="AO18" s="104"/>
      <c r="AP18" s="104"/>
      <c r="AR18" s="104"/>
      <c r="AS18" s="104"/>
      <c r="AU18" s="104"/>
      <c r="AV18" s="104"/>
      <c r="AX18" s="104"/>
      <c r="AY18" s="104"/>
      <c r="BA18" s="104"/>
      <c r="BB18" s="104"/>
      <c r="BD18" s="104"/>
      <c r="BE18" s="104"/>
      <c r="BF18" s="104"/>
      <c r="BH18" s="104"/>
      <c r="BI18" s="104"/>
      <c r="BJ18" s="104"/>
      <c r="BL18" s="104"/>
      <c r="BM18" s="104"/>
    </row>
    <row r="19" spans="2:65" s="253" customFormat="1" x14ac:dyDescent="0.15">
      <c r="B19" s="410"/>
      <c r="C19" s="179">
        <v>39387</v>
      </c>
      <c r="D19" s="180">
        <f>'CA antes de Res 1763 de 2007'!D99</f>
        <v>380.34919325794101</v>
      </c>
      <c r="E19" s="181">
        <f>'CA antes de Res 1763 de 2007'!E99</f>
        <v>381.93881268763676</v>
      </c>
      <c r="F19" s="182">
        <f>'CA antes de Res 1763 de 2007'!F99</f>
        <v>-3.2837003656895798E-3</v>
      </c>
      <c r="H19" s="144"/>
      <c r="I19" s="145"/>
      <c r="L19" s="122"/>
      <c r="M19" s="123"/>
      <c r="O19" s="144"/>
      <c r="P19" s="145"/>
      <c r="Q19" s="104"/>
      <c r="R19" s="104"/>
      <c r="S19" s="122"/>
      <c r="T19" s="123"/>
      <c r="AB19" s="144"/>
      <c r="AC19" s="145"/>
      <c r="AD19" s="104"/>
      <c r="AE19" s="122"/>
      <c r="AF19" s="123"/>
      <c r="AH19" s="232">
        <f>+'CA antes de Res 1763 de 2007'!AF99</f>
        <v>56.409268492185326</v>
      </c>
      <c r="AI19" s="149">
        <f>'CA antes de Res 1763 de 2007'!AG99</f>
        <v>165.56401079235758</v>
      </c>
      <c r="AK19" s="259"/>
      <c r="AL19" s="258"/>
      <c r="AM19" s="134"/>
      <c r="AO19" s="104"/>
      <c r="AP19" s="104"/>
      <c r="AR19" s="104"/>
      <c r="AS19" s="104"/>
      <c r="AU19" s="104"/>
      <c r="AV19" s="104"/>
      <c r="AX19" s="104"/>
      <c r="AY19" s="104"/>
      <c r="BA19" s="104"/>
      <c r="BB19" s="104"/>
      <c r="BD19" s="104"/>
      <c r="BE19" s="104"/>
      <c r="BF19" s="104"/>
      <c r="BH19" s="104"/>
      <c r="BI19" s="104"/>
      <c r="BJ19" s="104"/>
      <c r="BL19" s="104"/>
      <c r="BM19" s="104"/>
    </row>
    <row r="20" spans="2:65" s="253" customFormat="1" ht="11.25" thickBot="1" x14ac:dyDescent="0.2">
      <c r="B20" s="411">
        <v>2007</v>
      </c>
      <c r="C20" s="183">
        <v>39417</v>
      </c>
      <c r="D20" s="184">
        <v>378.33735900444532</v>
      </c>
      <c r="E20" s="185">
        <f>AVERAGE(D8:D19)</f>
        <v>381.22509777565119</v>
      </c>
      <c r="F20" s="186">
        <f>(E20-E19)/E19</f>
        <v>-1.8686629592925498E-3</v>
      </c>
      <c r="H20" s="146">
        <v>24.27</v>
      </c>
      <c r="I20" s="147">
        <f>H20</f>
        <v>24.27</v>
      </c>
      <c r="L20" s="167">
        <v>34.700000000000003</v>
      </c>
      <c r="M20" s="136">
        <f>L20</f>
        <v>34.700000000000003</v>
      </c>
      <c r="O20" s="157">
        <v>7383345</v>
      </c>
      <c r="P20" s="158">
        <f>O20</f>
        <v>7383345</v>
      </c>
      <c r="Q20" s="104"/>
      <c r="R20" s="104"/>
      <c r="S20" s="124">
        <v>8733451</v>
      </c>
      <c r="T20" s="125">
        <f>S20</f>
        <v>8733451</v>
      </c>
      <c r="AB20" s="146">
        <v>123.74</v>
      </c>
      <c r="AC20" s="147">
        <f>AB20</f>
        <v>123.74</v>
      </c>
      <c r="AD20" s="104"/>
      <c r="AE20" s="124">
        <v>31976793</v>
      </c>
      <c r="AF20" s="125">
        <f>AE20</f>
        <v>31976793</v>
      </c>
      <c r="AH20" s="146">
        <f>+AH19*(1+F19)</f>
        <v>56.224037356609252</v>
      </c>
      <c r="AI20" s="233">
        <f>AI19*(1+F19)</f>
        <v>165.02034818957367</v>
      </c>
      <c r="AK20" s="167">
        <v>135</v>
      </c>
      <c r="AL20" s="260">
        <f>+AK20</f>
        <v>135</v>
      </c>
      <c r="AM20" s="261"/>
      <c r="AO20" s="104"/>
      <c r="AP20" s="104"/>
      <c r="AR20" s="104"/>
      <c r="AS20" s="104"/>
      <c r="AU20" s="104"/>
      <c r="AV20" s="104"/>
      <c r="AX20" s="104"/>
      <c r="AY20" s="104"/>
      <c r="BA20" s="104"/>
      <c r="BB20" s="104"/>
      <c r="BD20" s="104"/>
      <c r="BE20" s="104"/>
      <c r="BF20" s="104"/>
      <c r="BH20" s="104"/>
      <c r="BI20" s="104"/>
      <c r="BJ20" s="104"/>
      <c r="BL20" s="104"/>
      <c r="BM20" s="104"/>
    </row>
    <row r="21" spans="2:65" s="253" customFormat="1" x14ac:dyDescent="0.15">
      <c r="B21" s="409">
        <v>2008</v>
      </c>
      <c r="C21" s="175">
        <v>39448</v>
      </c>
      <c r="D21" s="187">
        <v>381.14441344977905</v>
      </c>
      <c r="E21" s="188">
        <f>AVERAGE(D9:D20)</f>
        <v>380.6649796688348</v>
      </c>
      <c r="F21" s="189">
        <f>(E21-E20)/E20</f>
        <v>-1.4692582153812339E-3</v>
      </c>
      <c r="H21" s="142"/>
      <c r="I21" s="148">
        <f>I20</f>
        <v>24.27</v>
      </c>
      <c r="L21" s="120"/>
      <c r="M21" s="168">
        <f>M20</f>
        <v>34.700000000000003</v>
      </c>
      <c r="O21" s="159"/>
      <c r="P21" s="160">
        <f>P20</f>
        <v>7383345</v>
      </c>
      <c r="Q21" s="104"/>
      <c r="R21" s="104"/>
      <c r="S21" s="126"/>
      <c r="T21" s="127">
        <f>T20</f>
        <v>8733451</v>
      </c>
      <c r="AB21" s="142"/>
      <c r="AC21" s="148">
        <f>AC20</f>
        <v>123.74</v>
      </c>
      <c r="AD21" s="104"/>
      <c r="AE21" s="126"/>
      <c r="AF21" s="127">
        <f>AF20</f>
        <v>31976793</v>
      </c>
      <c r="AH21" s="234">
        <f>+AH20*(1+F20)*0.98</f>
        <v>54.996594108967493</v>
      </c>
      <c r="AI21" s="235">
        <f>AI20*(1+F20)*0.98</f>
        <v>161.41774116183461</v>
      </c>
      <c r="AK21" s="262"/>
      <c r="AL21" s="263">
        <f>+AL20</f>
        <v>135</v>
      </c>
      <c r="AM21" s="264"/>
      <c r="AO21" s="104"/>
      <c r="AP21" s="104"/>
      <c r="AR21" s="104"/>
      <c r="AS21" s="104"/>
      <c r="AU21" s="104"/>
      <c r="AV21" s="104"/>
      <c r="AX21" s="104"/>
      <c r="AY21" s="104"/>
      <c r="BA21" s="104"/>
      <c r="BB21" s="104"/>
      <c r="BD21" s="104"/>
      <c r="BE21" s="104"/>
      <c r="BF21" s="104"/>
      <c r="BH21" s="104"/>
      <c r="BI21" s="104"/>
      <c r="BJ21" s="104"/>
      <c r="BL21" s="104"/>
      <c r="BM21" s="104"/>
    </row>
    <row r="22" spans="2:65" s="253" customFormat="1" x14ac:dyDescent="0.15">
      <c r="B22" s="410"/>
      <c r="C22" s="179">
        <v>39479</v>
      </c>
      <c r="D22" s="180">
        <v>376.00233821371774</v>
      </c>
      <c r="E22" s="181">
        <f>AVERAGE(D10:D21)</f>
        <v>379.62811255977152</v>
      </c>
      <c r="F22" s="182">
        <f t="shared" ref="F22:F32" si="0">(E22-E21)/E21</f>
        <v>-2.7238310967436989E-3</v>
      </c>
      <c r="H22" s="144"/>
      <c r="I22" s="149">
        <f t="shared" ref="I22:I32" si="1">I21</f>
        <v>24.27</v>
      </c>
      <c r="L22" s="122"/>
      <c r="M22" s="132">
        <f t="shared" ref="M22:M32" si="2">M21</f>
        <v>34.700000000000003</v>
      </c>
      <c r="O22" s="161"/>
      <c r="P22" s="162">
        <f t="shared" ref="P22:P32" si="3">P21</f>
        <v>7383345</v>
      </c>
      <c r="Q22" s="104"/>
      <c r="R22" s="104"/>
      <c r="S22" s="128"/>
      <c r="T22" s="129">
        <f t="shared" ref="T22:T32" si="4">T21</f>
        <v>8733451</v>
      </c>
      <c r="AB22" s="144"/>
      <c r="AC22" s="149">
        <f t="shared" ref="AC22:AC32" si="5">AC21</f>
        <v>123.74</v>
      </c>
      <c r="AD22" s="104"/>
      <c r="AE22" s="128"/>
      <c r="AF22" s="129">
        <f t="shared" ref="AF22:AF32" si="6">AF21</f>
        <v>31976793</v>
      </c>
      <c r="AH22" s="236">
        <f t="shared" ref="AH22:AH32" si="7">+AH21*(1+F21)</f>
        <v>54.915789911254905</v>
      </c>
      <c r="AI22" s="237">
        <f t="shared" ref="AI22:AI32" si="8">AI21*(1+F21)</f>
        <v>161.1805768195243</v>
      </c>
      <c r="AK22" s="265"/>
      <c r="AL22" s="266">
        <f t="shared" ref="AL22:AL32" si="9">+AL21</f>
        <v>135</v>
      </c>
      <c r="AM22" s="267"/>
      <c r="AO22" s="104"/>
      <c r="AP22" s="104"/>
      <c r="AR22" s="104"/>
      <c r="AS22" s="104"/>
      <c r="AU22" s="104"/>
      <c r="AV22" s="104"/>
      <c r="AX22" s="104"/>
      <c r="AY22" s="104"/>
      <c r="BA22" s="104"/>
      <c r="BB22" s="104"/>
      <c r="BD22" s="104"/>
      <c r="BE22" s="104"/>
      <c r="BF22" s="104"/>
      <c r="BH22" s="104"/>
      <c r="BI22" s="104"/>
      <c r="BJ22" s="104"/>
      <c r="BL22" s="104"/>
      <c r="BM22" s="104"/>
    </row>
    <row r="23" spans="2:65" s="253" customFormat="1" x14ac:dyDescent="0.15">
      <c r="B23" s="410"/>
      <c r="C23" s="179">
        <v>39508</v>
      </c>
      <c r="D23" s="180">
        <v>374.00602585339732</v>
      </c>
      <c r="E23" s="181">
        <f t="shared" ref="E23:E29" si="10">AVERAGE(D11:D22)</f>
        <v>378.33588646008275</v>
      </c>
      <c r="F23" s="182">
        <f t="shared" si="0"/>
        <v>-3.4039262555544221E-3</v>
      </c>
      <c r="H23" s="144"/>
      <c r="I23" s="149">
        <f t="shared" si="1"/>
        <v>24.27</v>
      </c>
      <c r="L23" s="122"/>
      <c r="M23" s="132">
        <f t="shared" si="2"/>
        <v>34.700000000000003</v>
      </c>
      <c r="O23" s="161"/>
      <c r="P23" s="162">
        <f t="shared" si="3"/>
        <v>7383345</v>
      </c>
      <c r="Q23" s="104"/>
      <c r="R23" s="104"/>
      <c r="S23" s="128"/>
      <c r="T23" s="129">
        <f t="shared" si="4"/>
        <v>8733451</v>
      </c>
      <c r="AB23" s="144"/>
      <c r="AC23" s="149">
        <f t="shared" si="5"/>
        <v>123.74</v>
      </c>
      <c r="AD23" s="104"/>
      <c r="AE23" s="128"/>
      <c r="AF23" s="129">
        <f t="shared" si="6"/>
        <v>31976793</v>
      </c>
      <c r="AH23" s="236">
        <f t="shared" si="7"/>
        <v>54.766208574992383</v>
      </c>
      <c r="AI23" s="237">
        <f t="shared" si="8"/>
        <v>160.74154815219219</v>
      </c>
      <c r="AK23" s="265"/>
      <c r="AL23" s="266">
        <f t="shared" si="9"/>
        <v>135</v>
      </c>
      <c r="AM23" s="267"/>
      <c r="AO23" s="104"/>
      <c r="AP23" s="104"/>
      <c r="AR23" s="104"/>
      <c r="AS23" s="104"/>
      <c r="AU23" s="104"/>
      <c r="AV23" s="104"/>
      <c r="AX23" s="104"/>
      <c r="AY23" s="104"/>
      <c r="BA23" s="104"/>
      <c r="BB23" s="104"/>
      <c r="BD23" s="104"/>
      <c r="BE23" s="104"/>
      <c r="BF23" s="104"/>
      <c r="BH23" s="104"/>
      <c r="BI23" s="104"/>
      <c r="BJ23" s="104"/>
      <c r="BL23" s="104"/>
      <c r="BM23" s="104"/>
    </row>
    <row r="24" spans="2:65" s="253" customFormat="1" x14ac:dyDescent="0.15">
      <c r="B24" s="410"/>
      <c r="C24" s="179">
        <v>39539</v>
      </c>
      <c r="D24" s="180">
        <v>371.0367198225776</v>
      </c>
      <c r="E24" s="181">
        <f>AVERAGE(D12:D23)</f>
        <v>377.03720986996905</v>
      </c>
      <c r="F24" s="182">
        <f t="shared" si="0"/>
        <v>-3.4326021839081356E-3</v>
      </c>
      <c r="H24" s="144"/>
      <c r="I24" s="149">
        <f t="shared" si="1"/>
        <v>24.27</v>
      </c>
      <c r="L24" s="122"/>
      <c r="M24" s="132">
        <f t="shared" si="2"/>
        <v>34.700000000000003</v>
      </c>
      <c r="O24" s="161"/>
      <c r="P24" s="162">
        <f t="shared" si="3"/>
        <v>7383345</v>
      </c>
      <c r="Q24" s="104"/>
      <c r="R24" s="104"/>
      <c r="S24" s="128"/>
      <c r="T24" s="129">
        <f t="shared" si="4"/>
        <v>8733451</v>
      </c>
      <c r="AB24" s="144"/>
      <c r="AC24" s="149">
        <f t="shared" si="5"/>
        <v>123.74</v>
      </c>
      <c r="AD24" s="104"/>
      <c r="AE24" s="128"/>
      <c r="AF24" s="129">
        <f t="shared" si="6"/>
        <v>31976793</v>
      </c>
      <c r="AH24" s="236">
        <f t="shared" si="7"/>
        <v>54.579788439706796</v>
      </c>
      <c r="AI24" s="237">
        <f t="shared" si="8"/>
        <v>160.19439577607849</v>
      </c>
      <c r="AK24" s="265"/>
      <c r="AL24" s="266">
        <f t="shared" si="9"/>
        <v>135</v>
      </c>
      <c r="AM24" s="267"/>
      <c r="AO24" s="104"/>
      <c r="AP24" s="104"/>
      <c r="AR24" s="104"/>
      <c r="AS24" s="104"/>
      <c r="AU24" s="104"/>
      <c r="AV24" s="104"/>
      <c r="AX24" s="104"/>
      <c r="AY24" s="104"/>
      <c r="BA24" s="104"/>
      <c r="BB24" s="104"/>
      <c r="BD24" s="104"/>
      <c r="BE24" s="104"/>
      <c r="BF24" s="104"/>
      <c r="BH24" s="104"/>
      <c r="BI24" s="104"/>
      <c r="BJ24" s="104"/>
      <c r="BL24" s="104"/>
      <c r="BM24" s="104"/>
    </row>
    <row r="25" spans="2:65" s="253" customFormat="1" x14ac:dyDescent="0.15">
      <c r="B25" s="410"/>
      <c r="C25" s="179">
        <v>39569</v>
      </c>
      <c r="D25" s="180">
        <v>367.05151861870422</v>
      </c>
      <c r="E25" s="181">
        <f>AVERAGE(D13:D24)</f>
        <v>375.95252713785447</v>
      </c>
      <c r="F25" s="182">
        <f t="shared" si="0"/>
        <v>-2.8768585797901832E-3</v>
      </c>
      <c r="H25" s="144"/>
      <c r="I25" s="149">
        <f t="shared" si="1"/>
        <v>24.27</v>
      </c>
      <c r="L25" s="122"/>
      <c r="M25" s="132">
        <f t="shared" si="2"/>
        <v>34.700000000000003</v>
      </c>
      <c r="O25" s="161"/>
      <c r="P25" s="162">
        <f t="shared" si="3"/>
        <v>7383345</v>
      </c>
      <c r="Q25" s="104"/>
      <c r="R25" s="104"/>
      <c r="S25" s="128"/>
      <c r="T25" s="129">
        <f t="shared" si="4"/>
        <v>8733451</v>
      </c>
      <c r="AB25" s="144"/>
      <c r="AC25" s="149">
        <f t="shared" si="5"/>
        <v>123.74</v>
      </c>
      <c r="AD25" s="104"/>
      <c r="AE25" s="128"/>
      <c r="AF25" s="129">
        <f t="shared" si="6"/>
        <v>31976793</v>
      </c>
      <c r="AH25" s="236">
        <f t="shared" si="7"/>
        <v>54.392437738711415</v>
      </c>
      <c r="AI25" s="237">
        <f t="shared" si="8"/>
        <v>159.64451214328767</v>
      </c>
      <c r="AK25" s="265"/>
      <c r="AL25" s="266">
        <f t="shared" si="9"/>
        <v>135</v>
      </c>
      <c r="AM25" s="267"/>
      <c r="AO25" s="104"/>
      <c r="AP25" s="104"/>
      <c r="AR25" s="104"/>
      <c r="AS25" s="104"/>
      <c r="AU25" s="104"/>
      <c r="AV25" s="104"/>
      <c r="AX25" s="104"/>
      <c r="AY25" s="104"/>
      <c r="BA25" s="104"/>
      <c r="BB25" s="104"/>
      <c r="BD25" s="104"/>
      <c r="BE25" s="104"/>
      <c r="BF25" s="104"/>
      <c r="BH25" s="104"/>
      <c r="BI25" s="104"/>
      <c r="BJ25" s="104"/>
      <c r="BL25" s="104"/>
      <c r="BM25" s="104"/>
    </row>
    <row r="26" spans="2:65" s="253" customFormat="1" x14ac:dyDescent="0.15">
      <c r="B26" s="410"/>
      <c r="C26" s="179">
        <v>39600</v>
      </c>
      <c r="D26" s="180">
        <v>383.02356396941184</v>
      </c>
      <c r="E26" s="181">
        <f>AVERAGE(D14:D25)</f>
        <v>375.69448982116342</v>
      </c>
      <c r="F26" s="182">
        <f>(E26-E25)/E25</f>
        <v>-6.8635611696910275E-4</v>
      </c>
      <c r="H26" s="144"/>
      <c r="I26" s="149">
        <f>I25</f>
        <v>24.27</v>
      </c>
      <c r="L26" s="122"/>
      <c r="M26" s="132">
        <f t="shared" si="2"/>
        <v>34.700000000000003</v>
      </c>
      <c r="O26" s="161"/>
      <c r="P26" s="162">
        <f t="shared" si="3"/>
        <v>7383345</v>
      </c>
      <c r="Q26" s="104"/>
      <c r="R26" s="104"/>
      <c r="S26" s="128"/>
      <c r="T26" s="129">
        <f t="shared" si="4"/>
        <v>8733451</v>
      </c>
      <c r="AB26" s="144"/>
      <c r="AC26" s="149">
        <f t="shared" si="5"/>
        <v>123.74</v>
      </c>
      <c r="AD26" s="104"/>
      <c r="AE26" s="128"/>
      <c r="AF26" s="129">
        <f t="shared" si="6"/>
        <v>31976793</v>
      </c>
      <c r="AH26" s="236">
        <f t="shared" si="7"/>
        <v>54.235958387527099</v>
      </c>
      <c r="AI26" s="237">
        <f t="shared" si="8"/>
        <v>159.18523745881186</v>
      </c>
      <c r="AK26" s="265"/>
      <c r="AL26" s="266">
        <f t="shared" si="9"/>
        <v>135</v>
      </c>
      <c r="AM26" s="267"/>
      <c r="AO26" s="104"/>
      <c r="AP26" s="104"/>
      <c r="AR26" s="104"/>
      <c r="AS26" s="104"/>
      <c r="AU26" s="104"/>
      <c r="AV26" s="104"/>
      <c r="AX26" s="104"/>
      <c r="AY26" s="104"/>
      <c r="BA26" s="104"/>
      <c r="BB26" s="104"/>
      <c r="BD26" s="104"/>
      <c r="BE26" s="104"/>
      <c r="BF26" s="104"/>
      <c r="BH26" s="104"/>
      <c r="BI26" s="104"/>
      <c r="BJ26" s="104"/>
      <c r="BL26" s="104"/>
      <c r="BM26" s="104"/>
    </row>
    <row r="27" spans="2:65" s="253" customFormat="1" x14ac:dyDescent="0.15">
      <c r="B27" s="410"/>
      <c r="C27" s="179">
        <v>39630</v>
      </c>
      <c r="D27" s="180">
        <v>374.16169636204302</v>
      </c>
      <c r="E27" s="181">
        <f t="shared" si="10"/>
        <v>376.66954672478636</v>
      </c>
      <c r="F27" s="182">
        <f t="shared" si="0"/>
        <v>2.5953452340679388E-3</v>
      </c>
      <c r="H27" s="144"/>
      <c r="I27" s="149">
        <f t="shared" si="1"/>
        <v>24.27</v>
      </c>
      <c r="L27" s="122"/>
      <c r="M27" s="132">
        <f t="shared" si="2"/>
        <v>34.700000000000003</v>
      </c>
      <c r="O27" s="161"/>
      <c r="P27" s="162">
        <f t="shared" si="3"/>
        <v>7383345</v>
      </c>
      <c r="Q27" s="104"/>
      <c r="R27" s="104"/>
      <c r="S27" s="128"/>
      <c r="T27" s="129">
        <f t="shared" si="4"/>
        <v>8733451</v>
      </c>
      <c r="AB27" s="144"/>
      <c r="AC27" s="149">
        <f t="shared" si="5"/>
        <v>123.74</v>
      </c>
      <c r="AD27" s="104"/>
      <c r="AE27" s="128"/>
      <c r="AF27" s="129">
        <f t="shared" si="6"/>
        <v>31976793</v>
      </c>
      <c r="AH27" s="236">
        <f t="shared" si="7"/>
        <v>54.198733205728139</v>
      </c>
      <c r="AI27" s="237">
        <f t="shared" si="8"/>
        <v>159.07597969735082</v>
      </c>
      <c r="AK27" s="265"/>
      <c r="AL27" s="266">
        <f t="shared" si="9"/>
        <v>135</v>
      </c>
      <c r="AM27" s="267"/>
      <c r="AO27" s="104"/>
      <c r="AP27" s="104"/>
      <c r="AR27" s="104"/>
      <c r="AS27" s="104"/>
      <c r="AU27" s="104"/>
      <c r="AV27" s="104"/>
      <c r="AX27" s="104"/>
      <c r="AY27" s="104"/>
      <c r="BA27" s="104"/>
      <c r="BB27" s="104"/>
      <c r="BD27" s="104"/>
      <c r="BE27" s="104"/>
      <c r="BF27" s="104"/>
      <c r="BH27" s="104"/>
      <c r="BI27" s="104"/>
      <c r="BJ27" s="104"/>
      <c r="BL27" s="104"/>
      <c r="BM27" s="104"/>
    </row>
    <row r="28" spans="2:65" s="253" customFormat="1" x14ac:dyDescent="0.15">
      <c r="B28" s="410"/>
      <c r="C28" s="179">
        <v>39661</v>
      </c>
      <c r="D28" s="180">
        <v>384.59466586069169</v>
      </c>
      <c r="E28" s="181">
        <f t="shared" si="10"/>
        <v>376.8884792861229</v>
      </c>
      <c r="F28" s="182">
        <f t="shared" si="0"/>
        <v>5.8123244430085858E-4</v>
      </c>
      <c r="H28" s="144"/>
      <c r="I28" s="149">
        <f t="shared" si="1"/>
        <v>24.27</v>
      </c>
      <c r="L28" s="122"/>
      <c r="M28" s="132">
        <f t="shared" si="2"/>
        <v>34.700000000000003</v>
      </c>
      <c r="O28" s="161"/>
      <c r="P28" s="162">
        <f t="shared" si="3"/>
        <v>7383345</v>
      </c>
      <c r="Q28" s="104"/>
      <c r="R28" s="104"/>
      <c r="S28" s="128"/>
      <c r="T28" s="129">
        <f t="shared" si="4"/>
        <v>8733451</v>
      </c>
      <c r="AB28" s="144"/>
      <c r="AC28" s="149">
        <f t="shared" si="5"/>
        <v>123.74</v>
      </c>
      <c r="AD28" s="104"/>
      <c r="AE28" s="128"/>
      <c r="AF28" s="129">
        <f t="shared" si="6"/>
        <v>31976793</v>
      </c>
      <c r="AH28" s="236">
        <f t="shared" si="7"/>
        <v>54.339397629646143</v>
      </c>
      <c r="AI28" s="237">
        <f t="shared" si="8"/>
        <v>159.48883678311302</v>
      </c>
      <c r="AK28" s="265"/>
      <c r="AL28" s="266">
        <f t="shared" si="9"/>
        <v>135</v>
      </c>
      <c r="AM28" s="267"/>
      <c r="AO28" s="104"/>
      <c r="AP28" s="104"/>
      <c r="AR28" s="104"/>
      <c r="AS28" s="104"/>
      <c r="AU28" s="104"/>
      <c r="AV28" s="104"/>
      <c r="AX28" s="104"/>
      <c r="AY28" s="104"/>
      <c r="BA28" s="104"/>
      <c r="BB28" s="104"/>
      <c r="BD28" s="104"/>
      <c r="BE28" s="104"/>
      <c r="BF28" s="104"/>
      <c r="BH28" s="104"/>
      <c r="BI28" s="104"/>
      <c r="BJ28" s="104"/>
      <c r="BL28" s="104"/>
      <c r="BM28" s="104"/>
    </row>
    <row r="29" spans="2:65" s="253" customFormat="1" x14ac:dyDescent="0.15">
      <c r="B29" s="410"/>
      <c r="C29" s="179">
        <v>39692</v>
      </c>
      <c r="D29" s="180">
        <v>404.5185454728574</v>
      </c>
      <c r="E29" s="181">
        <f t="shared" si="10"/>
        <v>376.78801203448029</v>
      </c>
      <c r="F29" s="182">
        <f>(E29-E28)/E28</f>
        <v>-2.6657023805267544E-4</v>
      </c>
      <c r="H29" s="144"/>
      <c r="I29" s="149">
        <f t="shared" si="1"/>
        <v>24.27</v>
      </c>
      <c r="L29" s="122"/>
      <c r="M29" s="132">
        <f t="shared" si="2"/>
        <v>34.700000000000003</v>
      </c>
      <c r="O29" s="161"/>
      <c r="P29" s="162">
        <f t="shared" si="3"/>
        <v>7383345</v>
      </c>
      <c r="Q29" s="104"/>
      <c r="R29" s="104"/>
      <c r="S29" s="128"/>
      <c r="T29" s="129">
        <f t="shared" si="4"/>
        <v>8733451</v>
      </c>
      <c r="AB29" s="144"/>
      <c r="AC29" s="149">
        <f t="shared" si="5"/>
        <v>123.74</v>
      </c>
      <c r="AD29" s="104"/>
      <c r="AE29" s="128"/>
      <c r="AF29" s="129">
        <f t="shared" si="6"/>
        <v>31976793</v>
      </c>
      <c r="AH29" s="236">
        <f t="shared" si="7"/>
        <v>54.370981450552257</v>
      </c>
      <c r="AI29" s="237">
        <f t="shared" si="8"/>
        <v>159.58153686955515</v>
      </c>
      <c r="AK29" s="265"/>
      <c r="AL29" s="266">
        <f t="shared" si="9"/>
        <v>135</v>
      </c>
      <c r="AM29" s="267"/>
      <c r="AO29" s="104"/>
      <c r="AP29" s="104"/>
      <c r="AR29" s="104"/>
      <c r="AS29" s="104"/>
      <c r="AU29" s="104"/>
      <c r="AV29" s="104"/>
      <c r="AX29" s="104"/>
      <c r="AY29" s="104"/>
      <c r="BA29" s="104"/>
      <c r="BB29" s="104"/>
      <c r="BD29" s="104"/>
      <c r="BE29" s="104"/>
      <c r="BF29" s="104"/>
      <c r="BH29" s="104"/>
      <c r="BI29" s="104"/>
      <c r="BJ29" s="104"/>
      <c r="BL29" s="104"/>
      <c r="BM29" s="104"/>
    </row>
    <row r="30" spans="2:65" s="253" customFormat="1" x14ac:dyDescent="0.15">
      <c r="B30" s="410"/>
      <c r="C30" s="179">
        <v>39722</v>
      </c>
      <c r="D30" s="180">
        <v>419.93655010805122</v>
      </c>
      <c r="E30" s="181">
        <f t="shared" ref="E30:E40" si="11">AVERAGE(D18:D29)</f>
        <v>379.11038294019204</v>
      </c>
      <c r="F30" s="182">
        <f>(E30-E29)/E29</f>
        <v>6.1636008353132734E-3</v>
      </c>
      <c r="H30" s="144"/>
      <c r="I30" s="149">
        <f t="shared" si="1"/>
        <v>24.27</v>
      </c>
      <c r="L30" s="122"/>
      <c r="M30" s="132">
        <f t="shared" si="2"/>
        <v>34.700000000000003</v>
      </c>
      <c r="O30" s="161"/>
      <c r="P30" s="162">
        <f t="shared" si="3"/>
        <v>7383345</v>
      </c>
      <c r="Q30" s="104"/>
      <c r="R30" s="104"/>
      <c r="S30" s="128"/>
      <c r="T30" s="129">
        <f t="shared" si="4"/>
        <v>8733451</v>
      </c>
      <c r="AB30" s="144"/>
      <c r="AC30" s="149">
        <f t="shared" si="5"/>
        <v>123.74</v>
      </c>
      <c r="AD30" s="104"/>
      <c r="AE30" s="128"/>
      <c r="AF30" s="129">
        <f t="shared" si="6"/>
        <v>31976793</v>
      </c>
      <c r="AH30" s="236">
        <f t="shared" si="7"/>
        <v>54.356487765083827</v>
      </c>
      <c r="AI30" s="237">
        <f t="shared" si="8"/>
        <v>159.53899718128304</v>
      </c>
      <c r="AK30" s="265"/>
      <c r="AL30" s="266">
        <f t="shared" si="9"/>
        <v>135</v>
      </c>
      <c r="AM30" s="267"/>
      <c r="AO30" s="104"/>
      <c r="AP30" s="104"/>
      <c r="AR30" s="104"/>
      <c r="AS30" s="104"/>
      <c r="AU30" s="104"/>
      <c r="AV30" s="104"/>
      <c r="AX30" s="104"/>
      <c r="AY30" s="104"/>
      <c r="BA30" s="104"/>
      <c r="BB30" s="104"/>
      <c r="BD30" s="104"/>
      <c r="BE30" s="104"/>
      <c r="BF30" s="104"/>
      <c r="BH30" s="104"/>
      <c r="BI30" s="104"/>
      <c r="BJ30" s="104"/>
      <c r="BL30" s="104"/>
      <c r="BM30" s="104"/>
    </row>
    <row r="31" spans="2:65" s="253" customFormat="1" x14ac:dyDescent="0.15">
      <c r="B31" s="410"/>
      <c r="C31" s="179">
        <v>39753</v>
      </c>
      <c r="D31" s="180">
        <v>417.07584072801114</v>
      </c>
      <c r="E31" s="181">
        <f>AVERAGE(D19:D30)</f>
        <v>382.84688249946817</v>
      </c>
      <c r="F31" s="182">
        <f t="shared" si="0"/>
        <v>9.8559673578383408E-3</v>
      </c>
      <c r="H31" s="144"/>
      <c r="I31" s="149">
        <f t="shared" si="1"/>
        <v>24.27</v>
      </c>
      <c r="L31" s="122"/>
      <c r="M31" s="132">
        <f t="shared" si="2"/>
        <v>34.700000000000003</v>
      </c>
      <c r="O31" s="161"/>
      <c r="P31" s="162">
        <f t="shared" si="3"/>
        <v>7383345</v>
      </c>
      <c r="Q31" s="104"/>
      <c r="R31" s="104"/>
      <c r="S31" s="128"/>
      <c r="T31" s="129">
        <f t="shared" si="4"/>
        <v>8733451</v>
      </c>
      <c r="AB31" s="144"/>
      <c r="AC31" s="149">
        <f t="shared" si="5"/>
        <v>123.74</v>
      </c>
      <c r="AD31" s="104"/>
      <c r="AE31" s="128"/>
      <c r="AF31" s="129">
        <f t="shared" si="6"/>
        <v>31976793</v>
      </c>
      <c r="AH31" s="236">
        <f t="shared" si="7"/>
        <v>54.691519458477387</v>
      </c>
      <c r="AI31" s="237">
        <f t="shared" si="8"/>
        <v>160.52233187757463</v>
      </c>
      <c r="AK31" s="265"/>
      <c r="AL31" s="266">
        <f t="shared" si="9"/>
        <v>135</v>
      </c>
      <c r="AM31" s="267"/>
      <c r="AO31" s="104"/>
      <c r="AP31" s="104"/>
      <c r="AR31" s="104"/>
      <c r="AS31" s="104"/>
      <c r="AU31" s="104"/>
      <c r="AV31" s="104"/>
      <c r="AX31" s="104"/>
      <c r="AY31" s="104"/>
      <c r="BA31" s="104"/>
      <c r="BB31" s="104"/>
      <c r="BD31" s="104"/>
      <c r="BE31" s="104"/>
      <c r="BF31" s="104"/>
      <c r="BH31" s="104"/>
      <c r="BI31" s="104"/>
      <c r="BJ31" s="104"/>
      <c r="BL31" s="104"/>
      <c r="BM31" s="104"/>
    </row>
    <row r="32" spans="2:65" s="253" customFormat="1" ht="11.25" thickBot="1" x14ac:dyDescent="0.2">
      <c r="B32" s="411"/>
      <c r="C32" s="183">
        <v>39783</v>
      </c>
      <c r="D32" s="184">
        <v>410.84552398439166</v>
      </c>
      <c r="E32" s="185">
        <f>AVERAGE(D20:D31)</f>
        <v>385.90743645530733</v>
      </c>
      <c r="F32" s="186">
        <f t="shared" si="0"/>
        <v>7.9941984530680354E-3</v>
      </c>
      <c r="H32" s="140"/>
      <c r="I32" s="147">
        <f t="shared" si="1"/>
        <v>24.27</v>
      </c>
      <c r="L32" s="118"/>
      <c r="M32" s="136">
        <f t="shared" si="2"/>
        <v>34.700000000000003</v>
      </c>
      <c r="O32" s="163"/>
      <c r="P32" s="158">
        <f t="shared" si="3"/>
        <v>7383345</v>
      </c>
      <c r="Q32" s="104"/>
      <c r="R32" s="104"/>
      <c r="S32" s="130"/>
      <c r="T32" s="125">
        <f t="shared" si="4"/>
        <v>8733451</v>
      </c>
      <c r="AB32" s="140"/>
      <c r="AC32" s="147">
        <f t="shared" si="5"/>
        <v>123.74</v>
      </c>
      <c r="AD32" s="104"/>
      <c r="AE32" s="130"/>
      <c r="AF32" s="125">
        <f t="shared" si="6"/>
        <v>31976793</v>
      </c>
      <c r="AH32" s="238">
        <f t="shared" si="7"/>
        <v>55.230557289010726</v>
      </c>
      <c r="AI32" s="233">
        <f t="shared" si="8"/>
        <v>162.10443474076411</v>
      </c>
      <c r="AK32" s="268"/>
      <c r="AL32" s="269">
        <f t="shared" si="9"/>
        <v>135</v>
      </c>
      <c r="AM32" s="261"/>
      <c r="AO32" s="104"/>
      <c r="AP32" s="104"/>
      <c r="AR32" s="104"/>
      <c r="AS32" s="104"/>
      <c r="AU32" s="104"/>
      <c r="AV32" s="104"/>
      <c r="AX32" s="104"/>
      <c r="AY32" s="104"/>
      <c r="BA32" s="104"/>
      <c r="BB32" s="104"/>
      <c r="BD32" s="104"/>
      <c r="BE32" s="104"/>
      <c r="BF32" s="104"/>
      <c r="BH32" s="104"/>
      <c r="BI32" s="104"/>
      <c r="BJ32" s="104"/>
      <c r="BL32" s="104"/>
      <c r="BM32" s="104"/>
    </row>
    <row r="33" spans="2:65" s="253" customFormat="1" x14ac:dyDescent="0.15">
      <c r="B33" s="409">
        <v>2009</v>
      </c>
      <c r="C33" s="175">
        <v>39814</v>
      </c>
      <c r="D33" s="187">
        <v>429.86724938243805</v>
      </c>
      <c r="E33" s="188">
        <f>AVERAGE(D21:D32)</f>
        <v>388.61645020363613</v>
      </c>
      <c r="F33" s="189">
        <f>(E33-E32)/E32</f>
        <v>7.0198537069200437E-3</v>
      </c>
      <c r="H33" s="142"/>
      <c r="I33" s="150">
        <f>(1+((E32-E14)/E14))*H20*0.98</f>
        <v>23.483921301110762</v>
      </c>
      <c r="L33" s="120"/>
      <c r="M33" s="169">
        <f>(1+((E32-E14)/E14))*L20*0.98</f>
        <v>33.576105032902497</v>
      </c>
      <c r="O33" s="142"/>
      <c r="P33" s="164">
        <f>(1+((E32-E14)/E14))*O20*0.98</f>
        <v>7144206.5479583703</v>
      </c>
      <c r="Q33" s="104"/>
      <c r="R33" s="104"/>
      <c r="S33" s="120"/>
      <c r="T33" s="131">
        <f>(1+((E32-E14)/E14))*S20*0.98</f>
        <v>8450584.0944007859</v>
      </c>
      <c r="AB33" s="142"/>
      <c r="AC33" s="150">
        <f>(1+((E32-E14)/E14))*AB20*0.98</f>
        <v>119.73219702511106</v>
      </c>
      <c r="AD33" s="104"/>
      <c r="AE33" s="120"/>
      <c r="AF33" s="131">
        <f>(1+((E32-E14)/E14))*AE20*0.98</f>
        <v>30941099.722864009</v>
      </c>
      <c r="AH33" s="234">
        <f>+AH32*(1+F32)*0.98</f>
        <v>54.558639698159567</v>
      </c>
      <c r="AI33" s="235">
        <f>AI32*(1+F32)*0.98</f>
        <v>160.13232316696011</v>
      </c>
      <c r="AK33" s="262"/>
      <c r="AL33" s="270">
        <f>(1+((E32-E14)/E14))*AK20*0.98</f>
        <v>130.62749796662351</v>
      </c>
      <c r="AM33" s="264"/>
      <c r="AO33" s="104"/>
      <c r="AP33" s="104"/>
      <c r="AR33" s="104"/>
      <c r="AS33" s="104"/>
      <c r="AU33" s="104"/>
      <c r="AV33" s="104"/>
      <c r="AX33" s="104"/>
      <c r="AY33" s="104"/>
      <c r="BA33" s="104"/>
      <c r="BB33" s="104"/>
      <c r="BD33" s="104"/>
      <c r="BE33" s="104"/>
      <c r="BF33" s="104"/>
      <c r="BH33" s="104"/>
      <c r="BI33" s="104"/>
      <c r="BJ33" s="104"/>
      <c r="BL33" s="104"/>
      <c r="BM33" s="104"/>
    </row>
    <row r="34" spans="2:65" s="253" customFormat="1" x14ac:dyDescent="0.15">
      <c r="B34" s="410"/>
      <c r="C34" s="179">
        <v>39845</v>
      </c>
      <c r="D34" s="180">
        <v>441.44778362404395</v>
      </c>
      <c r="E34" s="181">
        <f t="shared" si="11"/>
        <v>392.67668653135775</v>
      </c>
      <c r="F34" s="182">
        <f t="shared" ref="F34:F39" si="12">(E34-E33)/E33</f>
        <v>1.0447927064317622E-2</v>
      </c>
      <c r="H34" s="144"/>
      <c r="I34" s="149">
        <f t="shared" ref="I34:I39" si="13">I33</f>
        <v>23.483921301110762</v>
      </c>
      <c r="L34" s="122"/>
      <c r="M34" s="132">
        <f t="shared" ref="M34:M39" si="14">M33</f>
        <v>33.576105032902497</v>
      </c>
      <c r="O34" s="144"/>
      <c r="P34" s="149">
        <f t="shared" ref="P34:P39" si="15">P33</f>
        <v>7144206.5479583703</v>
      </c>
      <c r="Q34" s="104"/>
      <c r="R34" s="104"/>
      <c r="S34" s="122"/>
      <c r="T34" s="132">
        <f t="shared" ref="T34:T39" si="16">T33</f>
        <v>8450584.0944007859</v>
      </c>
      <c r="AB34" s="144"/>
      <c r="AC34" s="149">
        <f t="shared" ref="AC34:AC39" si="17">AC33</f>
        <v>119.73219702511106</v>
      </c>
      <c r="AD34" s="104"/>
      <c r="AE34" s="122"/>
      <c r="AF34" s="132">
        <f t="shared" ref="AF34:AF39" si="18">AF33</f>
        <v>30941099.722864009</v>
      </c>
      <c r="AH34" s="236">
        <f t="shared" ref="AH34:AH44" si="19">+AH33*(1+F33)</f>
        <v>54.941633367289214</v>
      </c>
      <c r="AI34" s="237">
        <f t="shared" ref="AI34:AI44" si="20">AI33*(1+F33)</f>
        <v>161.25642864934142</v>
      </c>
      <c r="AK34" s="265"/>
      <c r="AL34" s="266">
        <f t="shared" ref="AL34:AL39" si="21">+AL33</f>
        <v>130.62749796662351</v>
      </c>
      <c r="AM34" s="267"/>
      <c r="AO34" s="104"/>
      <c r="AP34" s="104"/>
      <c r="AR34" s="104"/>
      <c r="AS34" s="104"/>
      <c r="AU34" s="104"/>
      <c r="AV34" s="104"/>
      <c r="AX34" s="104"/>
      <c r="AY34" s="104"/>
      <c r="BA34" s="104"/>
      <c r="BB34" s="104"/>
      <c r="BD34" s="104"/>
      <c r="BE34" s="104"/>
      <c r="BF34" s="104"/>
      <c r="BH34" s="104"/>
      <c r="BI34" s="104"/>
      <c r="BJ34" s="104"/>
      <c r="BL34" s="104"/>
      <c r="BM34" s="104"/>
    </row>
    <row r="35" spans="2:65" s="253" customFormat="1" x14ac:dyDescent="0.15">
      <c r="B35" s="410"/>
      <c r="C35" s="179">
        <v>39873</v>
      </c>
      <c r="D35" s="180">
        <v>442.24797165939344</v>
      </c>
      <c r="E35" s="181">
        <f t="shared" si="11"/>
        <v>398.1304736488849</v>
      </c>
      <c r="F35" s="182">
        <f t="shared" si="12"/>
        <v>1.3888746912128271E-2</v>
      </c>
      <c r="H35" s="144"/>
      <c r="I35" s="149">
        <f t="shared" si="13"/>
        <v>23.483921301110762</v>
      </c>
      <c r="L35" s="122"/>
      <c r="M35" s="132">
        <f t="shared" si="14"/>
        <v>33.576105032902497</v>
      </c>
      <c r="O35" s="144"/>
      <c r="P35" s="149">
        <f t="shared" si="15"/>
        <v>7144206.5479583703</v>
      </c>
      <c r="Q35" s="104"/>
      <c r="R35" s="104"/>
      <c r="S35" s="122"/>
      <c r="T35" s="132">
        <f t="shared" si="16"/>
        <v>8450584.0944007859</v>
      </c>
      <c r="AB35" s="144"/>
      <c r="AC35" s="149">
        <f t="shared" si="17"/>
        <v>119.73219702511106</v>
      </c>
      <c r="AD35" s="104"/>
      <c r="AE35" s="122"/>
      <c r="AF35" s="132">
        <f t="shared" si="18"/>
        <v>30941099.722864009</v>
      </c>
      <c r="AH35" s="236">
        <f t="shared" si="19"/>
        <v>55.51565954550513</v>
      </c>
      <c r="AI35" s="237">
        <f t="shared" si="20"/>
        <v>162.94122405452208</v>
      </c>
      <c r="AK35" s="265"/>
      <c r="AL35" s="266">
        <f t="shared" si="21"/>
        <v>130.62749796662351</v>
      </c>
      <c r="AM35" s="267"/>
      <c r="AO35" s="104"/>
      <c r="AP35" s="104"/>
      <c r="AR35" s="104"/>
      <c r="AS35" s="104"/>
      <c r="AU35" s="104"/>
      <c r="AV35" s="104"/>
      <c r="AX35" s="104"/>
      <c r="AY35" s="104"/>
      <c r="BA35" s="104"/>
      <c r="BB35" s="104"/>
      <c r="BD35" s="104"/>
      <c r="BE35" s="104"/>
      <c r="BF35" s="104"/>
      <c r="BH35" s="104"/>
      <c r="BI35" s="104"/>
      <c r="BJ35" s="104"/>
      <c r="BL35" s="104"/>
      <c r="BM35" s="104"/>
    </row>
    <row r="36" spans="2:65" s="253" customFormat="1" x14ac:dyDescent="0.15">
      <c r="B36" s="410"/>
      <c r="C36" s="179">
        <v>39904</v>
      </c>
      <c r="D36" s="180">
        <v>423.83615282660696</v>
      </c>
      <c r="E36" s="181">
        <f t="shared" si="11"/>
        <v>403.81730246605122</v>
      </c>
      <c r="F36" s="182">
        <f t="shared" si="12"/>
        <v>1.4283832043918306E-2</v>
      </c>
      <c r="H36" s="144"/>
      <c r="I36" s="149">
        <f t="shared" si="13"/>
        <v>23.483921301110762</v>
      </c>
      <c r="L36" s="122"/>
      <c r="M36" s="132">
        <f t="shared" si="14"/>
        <v>33.576105032902497</v>
      </c>
      <c r="O36" s="144"/>
      <c r="P36" s="149">
        <f t="shared" si="15"/>
        <v>7144206.5479583703</v>
      </c>
      <c r="Q36" s="104"/>
      <c r="R36" s="104"/>
      <c r="S36" s="122"/>
      <c r="T36" s="132">
        <f t="shared" si="16"/>
        <v>8450584.0944007859</v>
      </c>
      <c r="AB36" s="144"/>
      <c r="AC36" s="149">
        <f t="shared" si="17"/>
        <v>119.73219702511106</v>
      </c>
      <c r="AD36" s="104"/>
      <c r="AE36" s="122"/>
      <c r="AF36" s="132">
        <f t="shared" si="18"/>
        <v>30941099.722864009</v>
      </c>
      <c r="AH36" s="236">
        <f t="shared" si="19"/>
        <v>56.286702490592532</v>
      </c>
      <c r="AI36" s="237">
        <f t="shared" si="20"/>
        <v>165.20427347696773</v>
      </c>
      <c r="AK36" s="265"/>
      <c r="AL36" s="266">
        <f t="shared" si="21"/>
        <v>130.62749796662351</v>
      </c>
      <c r="AM36" s="267"/>
      <c r="AO36" s="104"/>
      <c r="AP36" s="104"/>
      <c r="AR36" s="104"/>
      <c r="AS36" s="104"/>
      <c r="AU36" s="104"/>
      <c r="AV36" s="104"/>
      <c r="AX36" s="104"/>
      <c r="AY36" s="104"/>
      <c r="BA36" s="104"/>
      <c r="BB36" s="104"/>
      <c r="BD36" s="104"/>
      <c r="BE36" s="104"/>
      <c r="BF36" s="104"/>
      <c r="BH36" s="104"/>
      <c r="BI36" s="104"/>
      <c r="BJ36" s="104"/>
      <c r="BL36" s="104"/>
      <c r="BM36" s="104"/>
    </row>
    <row r="37" spans="2:65" s="253" customFormat="1" x14ac:dyDescent="0.15">
      <c r="B37" s="410"/>
      <c r="C37" s="179">
        <v>39934</v>
      </c>
      <c r="D37" s="180">
        <v>412.3764727990702</v>
      </c>
      <c r="E37" s="181">
        <f t="shared" si="11"/>
        <v>408.217255216387</v>
      </c>
      <c r="F37" s="182">
        <f t="shared" si="12"/>
        <v>1.0895899515612479E-2</v>
      </c>
      <c r="H37" s="144"/>
      <c r="I37" s="149">
        <f t="shared" si="13"/>
        <v>23.483921301110762</v>
      </c>
      <c r="L37" s="122"/>
      <c r="M37" s="132">
        <f t="shared" si="14"/>
        <v>33.576105032902497</v>
      </c>
      <c r="O37" s="144"/>
      <c r="P37" s="149">
        <f t="shared" si="15"/>
        <v>7144206.5479583703</v>
      </c>
      <c r="Q37" s="104"/>
      <c r="R37" s="104"/>
      <c r="S37" s="122"/>
      <c r="T37" s="132">
        <f t="shared" si="16"/>
        <v>8450584.0944007859</v>
      </c>
      <c r="AB37" s="144"/>
      <c r="AC37" s="149">
        <f t="shared" si="17"/>
        <v>119.73219702511106</v>
      </c>
      <c r="AD37" s="104"/>
      <c r="AE37" s="122"/>
      <c r="AF37" s="132">
        <f t="shared" si="18"/>
        <v>30941099.722864009</v>
      </c>
      <c r="AH37" s="236">
        <f t="shared" si="19"/>
        <v>57.090692295274152</v>
      </c>
      <c r="AI37" s="237">
        <f t="shared" si="20"/>
        <v>167.56402357225028</v>
      </c>
      <c r="AK37" s="265"/>
      <c r="AL37" s="266">
        <f t="shared" si="21"/>
        <v>130.62749796662351</v>
      </c>
      <c r="AM37" s="267"/>
      <c r="AO37" s="104"/>
      <c r="AP37" s="104"/>
      <c r="AR37" s="104"/>
      <c r="AS37" s="104"/>
      <c r="AU37" s="104"/>
      <c r="AV37" s="104"/>
      <c r="AX37" s="104"/>
      <c r="AY37" s="104"/>
      <c r="BA37" s="104"/>
      <c r="BB37" s="104"/>
      <c r="BD37" s="104"/>
      <c r="BE37" s="104"/>
      <c r="BF37" s="104"/>
      <c r="BH37" s="104"/>
      <c r="BI37" s="104"/>
      <c r="BJ37" s="104"/>
      <c r="BL37" s="104"/>
      <c r="BM37" s="104"/>
    </row>
    <row r="38" spans="2:65" s="253" customFormat="1" x14ac:dyDescent="0.15">
      <c r="B38" s="410"/>
      <c r="C38" s="179">
        <v>39965</v>
      </c>
      <c r="D38" s="180">
        <v>412.47037240400743</v>
      </c>
      <c r="E38" s="181">
        <f t="shared" si="11"/>
        <v>411.9943347314175</v>
      </c>
      <c r="F38" s="182">
        <f t="shared" si="12"/>
        <v>9.2526209188005699E-3</v>
      </c>
      <c r="H38" s="144"/>
      <c r="I38" s="149">
        <f t="shared" si="13"/>
        <v>23.483921301110762</v>
      </c>
      <c r="L38" s="122"/>
      <c r="M38" s="132">
        <f t="shared" si="14"/>
        <v>33.576105032902497</v>
      </c>
      <c r="O38" s="144"/>
      <c r="P38" s="149">
        <f t="shared" si="15"/>
        <v>7144206.5479583703</v>
      </c>
      <c r="Q38" s="104"/>
      <c r="R38" s="104"/>
      <c r="S38" s="122"/>
      <c r="T38" s="132">
        <f t="shared" si="16"/>
        <v>8450584.0944007859</v>
      </c>
      <c r="AB38" s="144"/>
      <c r="AC38" s="149">
        <f t="shared" si="17"/>
        <v>119.73219702511106</v>
      </c>
      <c r="AD38" s="104"/>
      <c r="AE38" s="122"/>
      <c r="AF38" s="132">
        <f t="shared" si="18"/>
        <v>30941099.722864009</v>
      </c>
      <c r="AH38" s="236">
        <f t="shared" si="19"/>
        <v>57.712746741800217</v>
      </c>
      <c r="AI38" s="237">
        <f t="shared" si="20"/>
        <v>169.38978433552523</v>
      </c>
      <c r="AK38" s="265"/>
      <c r="AL38" s="266">
        <f t="shared" si="21"/>
        <v>130.62749796662351</v>
      </c>
      <c r="AM38" s="267"/>
      <c r="AO38" s="104"/>
      <c r="AP38" s="104"/>
      <c r="AR38" s="104"/>
      <c r="AS38" s="104"/>
      <c r="AU38" s="104"/>
      <c r="AV38" s="104"/>
      <c r="AX38" s="104"/>
      <c r="AY38" s="104"/>
      <c r="BA38" s="104"/>
      <c r="BB38" s="104"/>
      <c r="BD38" s="104"/>
      <c r="BE38" s="104"/>
      <c r="BF38" s="104"/>
      <c r="BH38" s="104"/>
      <c r="BI38" s="104"/>
      <c r="BJ38" s="104"/>
      <c r="BL38" s="104"/>
      <c r="BM38" s="104"/>
    </row>
    <row r="39" spans="2:65" s="253" customFormat="1" x14ac:dyDescent="0.15">
      <c r="B39" s="410"/>
      <c r="C39" s="179">
        <v>39995</v>
      </c>
      <c r="D39" s="180">
        <v>403.69843419166</v>
      </c>
      <c r="E39" s="181">
        <f t="shared" si="11"/>
        <v>414.44823543430044</v>
      </c>
      <c r="F39" s="182">
        <f t="shared" si="12"/>
        <v>5.9561515681584931E-3</v>
      </c>
      <c r="H39" s="144"/>
      <c r="I39" s="149">
        <f t="shared" si="13"/>
        <v>23.483921301110762</v>
      </c>
      <c r="L39" s="122"/>
      <c r="M39" s="132">
        <f t="shared" si="14"/>
        <v>33.576105032902497</v>
      </c>
      <c r="O39" s="144"/>
      <c r="P39" s="149">
        <f t="shared" si="15"/>
        <v>7144206.5479583703</v>
      </c>
      <c r="Q39" s="104"/>
      <c r="R39" s="104"/>
      <c r="S39" s="122"/>
      <c r="T39" s="132">
        <f t="shared" si="16"/>
        <v>8450584.0944007859</v>
      </c>
      <c r="AB39" s="144"/>
      <c r="AC39" s="149">
        <f t="shared" si="17"/>
        <v>119.73219702511106</v>
      </c>
      <c r="AD39" s="104"/>
      <c r="AE39" s="122"/>
      <c r="AF39" s="132">
        <f t="shared" si="18"/>
        <v>30941099.722864009</v>
      </c>
      <c r="AH39" s="236">
        <f t="shared" si="19"/>
        <v>58.246740909584844</v>
      </c>
      <c r="AI39" s="237">
        <f t="shared" si="20"/>
        <v>170.95708379749925</v>
      </c>
      <c r="AK39" s="265"/>
      <c r="AL39" s="266">
        <f t="shared" si="21"/>
        <v>130.62749796662351</v>
      </c>
      <c r="AM39" s="267"/>
      <c r="AO39" s="104"/>
      <c r="AP39" s="104"/>
      <c r="AR39" s="104"/>
      <c r="AS39" s="104"/>
      <c r="AU39" s="104"/>
      <c r="AV39" s="104"/>
      <c r="AX39" s="104"/>
      <c r="AY39" s="104"/>
      <c r="BA39" s="104"/>
      <c r="BB39" s="104"/>
      <c r="BD39" s="104"/>
      <c r="BE39" s="104"/>
      <c r="BF39" s="104"/>
      <c r="BH39" s="104"/>
      <c r="BI39" s="104"/>
      <c r="BJ39" s="104"/>
      <c r="BL39" s="104"/>
      <c r="BM39" s="104"/>
    </row>
    <row r="40" spans="2:65" s="253" customFormat="1" x14ac:dyDescent="0.15">
      <c r="B40" s="410"/>
      <c r="C40" s="179">
        <v>40026</v>
      </c>
      <c r="D40" s="180">
        <v>402.03933679412341</v>
      </c>
      <c r="E40" s="181">
        <f t="shared" si="11"/>
        <v>416.90963025343518</v>
      </c>
      <c r="F40" s="182">
        <f t="shared" ref="F40:F71" si="22">(E40-E39)/E39</f>
        <v>5.9389680271058282E-3</v>
      </c>
      <c r="H40" s="144"/>
      <c r="I40" s="149">
        <f>I39</f>
        <v>23.483921301110762</v>
      </c>
      <c r="L40" s="122"/>
      <c r="M40" s="132">
        <f>M39</f>
        <v>33.576105032902497</v>
      </c>
      <c r="O40" s="144"/>
      <c r="P40" s="149">
        <f>P39</f>
        <v>7144206.5479583703</v>
      </c>
      <c r="Q40" s="104"/>
      <c r="R40" s="104"/>
      <c r="S40" s="122"/>
      <c r="T40" s="132">
        <f>T39</f>
        <v>8450584.0944007859</v>
      </c>
      <c r="AB40" s="144"/>
      <c r="AC40" s="149">
        <f>AC39</f>
        <v>119.73219702511106</v>
      </c>
      <c r="AD40" s="104"/>
      <c r="AE40" s="122"/>
      <c r="AF40" s="132">
        <f>AF39</f>
        <v>30941099.722864009</v>
      </c>
      <c r="AH40" s="236">
        <f t="shared" si="19"/>
        <v>58.593667326793593</v>
      </c>
      <c r="AI40" s="237">
        <f t="shared" si="20"/>
        <v>171.97533010024753</v>
      </c>
      <c r="AK40" s="265"/>
      <c r="AL40" s="266">
        <f>+AL39</f>
        <v>130.62749796662351</v>
      </c>
      <c r="AM40" s="267"/>
      <c r="AO40" s="104"/>
      <c r="AP40" s="104"/>
      <c r="AR40" s="104"/>
      <c r="AS40" s="104"/>
      <c r="AU40" s="104"/>
      <c r="AV40" s="104"/>
      <c r="AX40" s="104"/>
      <c r="AY40" s="104"/>
      <c r="BA40" s="104"/>
      <c r="BB40" s="104"/>
      <c r="BD40" s="104"/>
      <c r="BE40" s="104"/>
      <c r="BF40" s="104"/>
      <c r="BH40" s="104"/>
      <c r="BI40" s="104"/>
      <c r="BJ40" s="104"/>
      <c r="BL40" s="104"/>
      <c r="BM40" s="104"/>
    </row>
    <row r="41" spans="2:65" s="253" customFormat="1" x14ac:dyDescent="0.15">
      <c r="B41" s="410"/>
      <c r="C41" s="179">
        <v>40057</v>
      </c>
      <c r="D41" s="180">
        <v>392.32874914425292</v>
      </c>
      <c r="E41" s="181">
        <f t="shared" ref="E41:E68" si="23">AVERAGE(D29:D40)</f>
        <v>418.36335283122116</v>
      </c>
      <c r="F41" s="182">
        <f t="shared" si="22"/>
        <v>3.4869009307899133E-3</v>
      </c>
      <c r="H41" s="144"/>
      <c r="I41" s="149">
        <f>I40</f>
        <v>23.483921301110762</v>
      </c>
      <c r="L41" s="122"/>
      <c r="M41" s="132">
        <f>M40</f>
        <v>33.576105032902497</v>
      </c>
      <c r="O41" s="144"/>
      <c r="P41" s="149">
        <f>P40</f>
        <v>7144206.5479583703</v>
      </c>
      <c r="Q41" s="104"/>
      <c r="R41" s="104"/>
      <c r="S41" s="122"/>
      <c r="T41" s="132">
        <f>T40</f>
        <v>8450584.0944007859</v>
      </c>
      <c r="AB41" s="144"/>
      <c r="AC41" s="149">
        <f>AC40</f>
        <v>119.73219702511106</v>
      </c>
      <c r="AD41" s="104"/>
      <c r="AE41" s="122"/>
      <c r="AF41" s="132">
        <f>AF40</f>
        <v>30941099.722864009</v>
      </c>
      <c r="AH41" s="236">
        <f t="shared" si="19"/>
        <v>58.941653243638292</v>
      </c>
      <c r="AI41" s="237">
        <f t="shared" si="20"/>
        <v>172.99668608716388</v>
      </c>
      <c r="AK41" s="265"/>
      <c r="AL41" s="266">
        <f>+AL40</f>
        <v>130.62749796662351</v>
      </c>
      <c r="AM41" s="267"/>
      <c r="AO41" s="104"/>
      <c r="AP41" s="104"/>
      <c r="AR41" s="104"/>
      <c r="AS41" s="104"/>
      <c r="AU41" s="104"/>
      <c r="AV41" s="104"/>
      <c r="AX41" s="104"/>
      <c r="AY41" s="104"/>
      <c r="BA41" s="104"/>
      <c r="BB41" s="104"/>
      <c r="BD41" s="104"/>
      <c r="BE41" s="104"/>
      <c r="BF41" s="104"/>
      <c r="BH41" s="104"/>
      <c r="BI41" s="104"/>
      <c r="BJ41" s="104"/>
      <c r="BL41" s="104"/>
      <c r="BM41" s="104"/>
    </row>
    <row r="42" spans="2:65" s="253" customFormat="1" x14ac:dyDescent="0.15">
      <c r="B42" s="410"/>
      <c r="C42" s="179">
        <v>40087</v>
      </c>
      <c r="D42" s="180">
        <v>396.07167185292775</v>
      </c>
      <c r="E42" s="181">
        <f t="shared" si="23"/>
        <v>417.34753647050428</v>
      </c>
      <c r="F42" s="182">
        <f t="shared" si="22"/>
        <v>-2.4280720427410146E-3</v>
      </c>
      <c r="H42" s="144"/>
      <c r="I42" s="149">
        <f>I41</f>
        <v>23.483921301110762</v>
      </c>
      <c r="L42" s="122"/>
      <c r="M42" s="132">
        <f>M41</f>
        <v>33.576105032902497</v>
      </c>
      <c r="O42" s="144"/>
      <c r="P42" s="149">
        <f>P41</f>
        <v>7144206.5479583703</v>
      </c>
      <c r="Q42" s="104"/>
      <c r="R42" s="104"/>
      <c r="S42" s="122"/>
      <c r="T42" s="132">
        <f>T41</f>
        <v>8450584.0944007859</v>
      </c>
      <c r="AB42" s="144"/>
      <c r="AC42" s="149">
        <f>AC41</f>
        <v>119.73219702511106</v>
      </c>
      <c r="AD42" s="104"/>
      <c r="AE42" s="122"/>
      <c r="AF42" s="132">
        <f>AF41</f>
        <v>30941099.722864009</v>
      </c>
      <c r="AH42" s="236">
        <f t="shared" si="19"/>
        <v>59.147176949195824</v>
      </c>
      <c r="AI42" s="237">
        <f t="shared" si="20"/>
        <v>173.59990839290478</v>
      </c>
      <c r="AK42" s="265"/>
      <c r="AL42" s="266">
        <f>+AL41</f>
        <v>130.62749796662351</v>
      </c>
      <c r="AM42" s="267"/>
      <c r="AO42" s="104"/>
      <c r="AP42" s="104"/>
      <c r="AR42" s="104"/>
      <c r="AS42" s="104"/>
      <c r="AU42" s="104"/>
      <c r="AV42" s="104"/>
      <c r="AX42" s="104"/>
      <c r="AY42" s="104"/>
      <c r="BA42" s="104"/>
      <c r="BB42" s="104"/>
      <c r="BD42" s="104"/>
      <c r="BE42" s="104"/>
      <c r="BF42" s="104"/>
      <c r="BH42" s="104"/>
      <c r="BI42" s="104"/>
      <c r="BJ42" s="104"/>
      <c r="BL42" s="104"/>
      <c r="BM42" s="104"/>
    </row>
    <row r="43" spans="2:65" s="253" customFormat="1" x14ac:dyDescent="0.15">
      <c r="B43" s="410"/>
      <c r="C43" s="179">
        <v>40118</v>
      </c>
      <c r="D43" s="180">
        <v>396.65</v>
      </c>
      <c r="E43" s="181">
        <f t="shared" si="23"/>
        <v>415.35879661591053</v>
      </c>
      <c r="F43" s="182">
        <f t="shared" si="22"/>
        <v>-4.765188915244258E-3</v>
      </c>
      <c r="H43" s="144"/>
      <c r="I43" s="149">
        <f>I42</f>
        <v>23.483921301110762</v>
      </c>
      <c r="L43" s="122"/>
      <c r="M43" s="132">
        <f>M42</f>
        <v>33.576105032902497</v>
      </c>
      <c r="O43" s="144"/>
      <c r="P43" s="149">
        <f>P42</f>
        <v>7144206.5479583703</v>
      </c>
      <c r="Q43" s="104"/>
      <c r="R43" s="104"/>
      <c r="S43" s="122"/>
      <c r="T43" s="132">
        <f>T42</f>
        <v>8450584.0944007859</v>
      </c>
      <c r="AB43" s="144"/>
      <c r="AC43" s="149">
        <f>AC42</f>
        <v>119.73219702511106</v>
      </c>
      <c r="AD43" s="104"/>
      <c r="AE43" s="122"/>
      <c r="AF43" s="132">
        <f>AF42</f>
        <v>30941099.722864009</v>
      </c>
      <c r="AH43" s="236">
        <f t="shared" si="19"/>
        <v>59.003563342438426</v>
      </c>
      <c r="AI43" s="237">
        <f t="shared" si="20"/>
        <v>173.17839530871356</v>
      </c>
      <c r="AK43" s="265"/>
      <c r="AL43" s="266">
        <f>+AL42</f>
        <v>130.62749796662351</v>
      </c>
      <c r="AM43" s="267"/>
      <c r="AO43" s="104"/>
      <c r="AP43" s="104"/>
      <c r="AR43" s="104"/>
      <c r="AS43" s="104"/>
      <c r="AU43" s="104"/>
      <c r="AV43" s="104"/>
      <c r="AX43" s="104"/>
      <c r="AY43" s="104"/>
      <c r="BA43" s="104"/>
      <c r="BB43" s="104"/>
      <c r="BD43" s="104"/>
      <c r="BE43" s="104"/>
      <c r="BF43" s="104"/>
      <c r="BH43" s="104"/>
      <c r="BI43" s="104"/>
      <c r="BJ43" s="104"/>
      <c r="BL43" s="104"/>
      <c r="BM43" s="104"/>
    </row>
    <row r="44" spans="2:65" s="253" customFormat="1" ht="11.25" thickBot="1" x14ac:dyDescent="0.2">
      <c r="B44" s="411"/>
      <c r="C44" s="183">
        <v>40148</v>
      </c>
      <c r="D44" s="190">
        <v>401.43662682481545</v>
      </c>
      <c r="E44" s="191">
        <f t="shared" si="23"/>
        <v>413.65664322190952</v>
      </c>
      <c r="F44" s="192">
        <f t="shared" si="22"/>
        <v>-4.0980314077109252E-3</v>
      </c>
      <c r="H44" s="151"/>
      <c r="I44" s="152">
        <f>I43</f>
        <v>23.483921301110762</v>
      </c>
      <c r="J44" s="254"/>
      <c r="L44" s="139"/>
      <c r="M44" s="134">
        <f>M43</f>
        <v>33.576105032902497</v>
      </c>
      <c r="O44" s="165"/>
      <c r="P44" s="152">
        <f>P43</f>
        <v>7144206.5479583703</v>
      </c>
      <c r="Q44" s="116"/>
      <c r="R44" s="104"/>
      <c r="S44" s="133"/>
      <c r="T44" s="134">
        <f>T43</f>
        <v>8450584.0944007859</v>
      </c>
      <c r="AB44" s="151"/>
      <c r="AC44" s="152">
        <f>AC43</f>
        <v>119.73219702511106</v>
      </c>
      <c r="AD44" s="104"/>
      <c r="AE44" s="133"/>
      <c r="AF44" s="134">
        <f>AF43</f>
        <v>30941099.722864009</v>
      </c>
      <c r="AH44" s="239">
        <f t="shared" si="19"/>
        <v>58.722400216439127</v>
      </c>
      <c r="AI44" s="233">
        <f t="shared" si="20"/>
        <v>172.3531675390287</v>
      </c>
      <c r="AK44" s="167"/>
      <c r="AL44" s="260">
        <f>+AL43</f>
        <v>130.62749796662351</v>
      </c>
      <c r="AM44" s="261"/>
      <c r="AO44" s="104"/>
      <c r="AP44" s="104"/>
      <c r="AR44" s="104"/>
      <c r="AS44" s="104"/>
      <c r="AU44" s="104"/>
      <c r="AV44" s="104"/>
      <c r="AX44" s="104"/>
      <c r="AY44" s="104"/>
      <c r="BA44" s="104"/>
      <c r="BB44" s="104"/>
      <c r="BD44" s="104"/>
      <c r="BE44" s="104"/>
      <c r="BF44" s="104"/>
      <c r="BH44" s="104"/>
      <c r="BI44" s="104"/>
      <c r="BJ44" s="104"/>
      <c r="BL44" s="104"/>
      <c r="BM44" s="104"/>
    </row>
    <row r="45" spans="2:65" s="253" customFormat="1" x14ac:dyDescent="0.15">
      <c r="B45" s="409">
        <v>2010</v>
      </c>
      <c r="C45" s="175">
        <v>40179</v>
      </c>
      <c r="D45" s="187">
        <v>402.79470392458342</v>
      </c>
      <c r="E45" s="188">
        <f t="shared" si="23"/>
        <v>412.87256845861157</v>
      </c>
      <c r="F45" s="189">
        <f t="shared" si="22"/>
        <v>-1.8954724314129486E-3</v>
      </c>
      <c r="G45" s="315"/>
      <c r="H45" s="142"/>
      <c r="I45" s="153">
        <f>(1+((E44-E14)/E14))*H20*0.98</f>
        <v>25.172565069836395</v>
      </c>
      <c r="L45" s="120"/>
      <c r="M45" s="137">
        <f>(1+((E44-E14)/E14))*L20*0.98</f>
        <v>35.990441199972103</v>
      </c>
      <c r="N45" s="315"/>
      <c r="O45" s="142"/>
      <c r="P45" s="166">
        <f>(1+((E44-E14)/E14))*O20*0.98</f>
        <v>7657920.5787206916</v>
      </c>
      <c r="Q45" s="117"/>
      <c r="R45" s="117"/>
      <c r="S45" s="120"/>
      <c r="T45" s="135">
        <f>(1+((E44-E14)/E14))*S20*0.98</f>
        <v>9058235.0054275952</v>
      </c>
      <c r="U45" s="315"/>
      <c r="V45" s="315"/>
      <c r="W45" s="315"/>
      <c r="X45" s="315"/>
      <c r="Y45" s="315"/>
      <c r="Z45" s="315"/>
      <c r="AB45" s="142">
        <v>103.38</v>
      </c>
      <c r="AC45" s="153">
        <f>(1+((E44-E14)/E14))*AB20*0.98</f>
        <v>128.34170588139906</v>
      </c>
      <c r="AD45" s="117"/>
      <c r="AE45" s="215">
        <v>34595229</v>
      </c>
      <c r="AF45" s="216">
        <f>(1+((E44-E14)/E14))*AE20*0.98</f>
        <v>33165962.196835145</v>
      </c>
      <c r="AH45" s="240">
        <f>+AH44*(1+F44)*0.98</f>
        <v>57.312118896495669</v>
      </c>
      <c r="AI45" s="241">
        <f>AI44*(1+F44)*0.98</f>
        <v>168.21392166833058</v>
      </c>
      <c r="AK45" s="271"/>
      <c r="AL45" s="263">
        <f>(1+((E44-E14)/E14))*AK20*0.98</f>
        <v>140.02044847251392</v>
      </c>
      <c r="AM45" s="264"/>
      <c r="AO45" s="104"/>
      <c r="AP45" s="104"/>
      <c r="AR45" s="104"/>
      <c r="AS45" s="104"/>
      <c r="AU45" s="104"/>
      <c r="AV45" s="104"/>
      <c r="AX45" s="104"/>
      <c r="AY45" s="104"/>
      <c r="BA45" s="104"/>
      <c r="BB45" s="104"/>
      <c r="BD45" s="104"/>
      <c r="BE45" s="104"/>
      <c r="BF45" s="104"/>
      <c r="BH45" s="104"/>
      <c r="BI45" s="104"/>
      <c r="BJ45" s="104"/>
      <c r="BL45" s="104"/>
      <c r="BM45" s="104"/>
    </row>
    <row r="46" spans="2:65" s="253" customFormat="1" x14ac:dyDescent="0.15">
      <c r="B46" s="410"/>
      <c r="C46" s="179">
        <v>40210</v>
      </c>
      <c r="D46" s="180">
        <v>402.22859719182458</v>
      </c>
      <c r="E46" s="193">
        <f t="shared" si="23"/>
        <v>410.61652300379041</v>
      </c>
      <c r="F46" s="194">
        <f t="shared" si="22"/>
        <v>-5.4642657981461892E-3</v>
      </c>
      <c r="H46" s="144"/>
      <c r="I46" s="149">
        <f>+I45</f>
        <v>25.172565069836395</v>
      </c>
      <c r="L46" s="122"/>
      <c r="M46" s="132">
        <f>+M45</f>
        <v>35.990441199972103</v>
      </c>
      <c r="O46" s="144"/>
      <c r="P46" s="149">
        <f>+P45</f>
        <v>7657920.5787206916</v>
      </c>
      <c r="Q46" s="104"/>
      <c r="R46" s="104"/>
      <c r="S46" s="122"/>
      <c r="T46" s="132">
        <f>+T45</f>
        <v>9058235.0054275952</v>
      </c>
      <c r="AB46" s="144"/>
      <c r="AC46" s="149">
        <v>103.38</v>
      </c>
      <c r="AD46" s="104"/>
      <c r="AE46" s="122"/>
      <c r="AF46" s="132">
        <v>34595229</v>
      </c>
      <c r="AH46" s="236">
        <f t="shared" ref="AH46:AH56" si="24">+AH45*(1+F45)</f>
        <v>57.203485355141495</v>
      </c>
      <c r="AI46" s="237">
        <f t="shared" ref="AI46:AI56" si="25">AI45*(1+F45)</f>
        <v>167.89507681722841</v>
      </c>
      <c r="AK46" s="265"/>
      <c r="AL46" s="266">
        <f>+AL45</f>
        <v>140.02044847251392</v>
      </c>
      <c r="AM46" s="267"/>
      <c r="AO46" s="104"/>
      <c r="AP46" s="104"/>
      <c r="AR46" s="104"/>
      <c r="AS46" s="104"/>
      <c r="AU46" s="104"/>
      <c r="AV46" s="104"/>
      <c r="AX46" s="104"/>
      <c r="AY46" s="104"/>
      <c r="BA46" s="104"/>
      <c r="BB46" s="104"/>
      <c r="BD46" s="104"/>
      <c r="BE46" s="104"/>
      <c r="BF46" s="104"/>
      <c r="BH46" s="104"/>
      <c r="BI46" s="104"/>
      <c r="BJ46" s="104"/>
      <c r="BL46" s="104"/>
      <c r="BM46" s="104"/>
    </row>
    <row r="47" spans="2:65" s="253" customFormat="1" x14ac:dyDescent="0.15">
      <c r="B47" s="410"/>
      <c r="C47" s="179">
        <v>40238</v>
      </c>
      <c r="D47" s="180">
        <v>400.52271104714237</v>
      </c>
      <c r="E47" s="193">
        <f t="shared" si="23"/>
        <v>407.34825746777216</v>
      </c>
      <c r="F47" s="194">
        <f t="shared" si="22"/>
        <v>-7.9594106737591718E-3</v>
      </c>
      <c r="H47" s="144"/>
      <c r="I47" s="149">
        <f t="shared" ref="I47:I56" si="26">+I46</f>
        <v>25.172565069836395</v>
      </c>
      <c r="L47" s="122"/>
      <c r="M47" s="132">
        <f t="shared" ref="M47:M56" si="27">+M46</f>
        <v>35.990441199972103</v>
      </c>
      <c r="O47" s="144"/>
      <c r="P47" s="149">
        <f t="shared" ref="P47:P56" si="28">+P46</f>
        <v>7657920.5787206916</v>
      </c>
      <c r="Q47" s="104"/>
      <c r="R47" s="104"/>
      <c r="S47" s="122"/>
      <c r="T47" s="132">
        <f t="shared" ref="T47:T56" si="29">+T46</f>
        <v>9058235.0054275952</v>
      </c>
      <c r="AB47" s="144"/>
      <c r="AC47" s="149">
        <f t="shared" ref="AC47:AC56" si="30">+AC46</f>
        <v>103.38</v>
      </c>
      <c r="AD47" s="104"/>
      <c r="AE47" s="122"/>
      <c r="AF47" s="132">
        <f t="shared" ref="AF47:AF56" si="31">+AF46</f>
        <v>34595229</v>
      </c>
      <c r="AH47" s="236">
        <f t="shared" si="24"/>
        <v>56.890910306580636</v>
      </c>
      <c r="AI47" s="237">
        <f t="shared" si="25"/>
        <v>166.9776534912989</v>
      </c>
      <c r="AK47" s="265"/>
      <c r="AL47" s="266">
        <f t="shared" ref="AL47:AL56" si="32">+AL46</f>
        <v>140.02044847251392</v>
      </c>
      <c r="AM47" s="267"/>
      <c r="AO47" s="104"/>
      <c r="AP47" s="104"/>
      <c r="AR47" s="104"/>
      <c r="AS47" s="104"/>
      <c r="AU47" s="104"/>
      <c r="AV47" s="104"/>
      <c r="AX47" s="104"/>
      <c r="AY47" s="104"/>
      <c r="BA47" s="104"/>
      <c r="BB47" s="104"/>
      <c r="BD47" s="104"/>
      <c r="BE47" s="104"/>
      <c r="BF47" s="104"/>
      <c r="BH47" s="104"/>
      <c r="BI47" s="104"/>
      <c r="BJ47" s="104"/>
      <c r="BL47" s="104"/>
      <c r="BM47" s="104"/>
    </row>
    <row r="48" spans="2:65" s="253" customFormat="1" x14ac:dyDescent="0.15">
      <c r="B48" s="410"/>
      <c r="C48" s="179">
        <v>40269</v>
      </c>
      <c r="D48" s="180">
        <v>406.57575260824581</v>
      </c>
      <c r="E48" s="193">
        <f t="shared" si="23"/>
        <v>403.87115241675127</v>
      </c>
      <c r="F48" s="194">
        <f t="shared" si="22"/>
        <v>-8.535951700483168E-3</v>
      </c>
      <c r="H48" s="144"/>
      <c r="I48" s="149">
        <f t="shared" si="26"/>
        <v>25.172565069836395</v>
      </c>
      <c r="L48" s="122"/>
      <c r="M48" s="132">
        <f t="shared" si="27"/>
        <v>35.990441199972103</v>
      </c>
      <c r="O48" s="144"/>
      <c r="P48" s="149">
        <f t="shared" si="28"/>
        <v>7657920.5787206916</v>
      </c>
      <c r="Q48" s="104"/>
      <c r="R48" s="104"/>
      <c r="S48" s="122"/>
      <c r="T48" s="132">
        <f t="shared" si="29"/>
        <v>9058235.0054275952</v>
      </c>
      <c r="AB48" s="144"/>
      <c r="AC48" s="149">
        <f t="shared" si="30"/>
        <v>103.38</v>
      </c>
      <c r="AD48" s="104"/>
      <c r="AE48" s="122"/>
      <c r="AF48" s="132">
        <f t="shared" si="31"/>
        <v>34595229</v>
      </c>
      <c r="AH48" s="236">
        <f t="shared" si="24"/>
        <v>56.438092187846564</v>
      </c>
      <c r="AI48" s="237">
        <f t="shared" si="25"/>
        <v>165.64860977382099</v>
      </c>
      <c r="AK48" s="265"/>
      <c r="AL48" s="266">
        <f t="shared" si="32"/>
        <v>140.02044847251392</v>
      </c>
      <c r="AM48" s="267"/>
      <c r="AO48" s="104"/>
      <c r="AP48" s="104"/>
      <c r="AR48" s="104"/>
      <c r="AS48" s="104"/>
      <c r="AU48" s="104"/>
      <c r="AV48" s="104"/>
      <c r="AX48" s="104"/>
      <c r="AY48" s="104"/>
      <c r="BA48" s="104"/>
      <c r="BB48" s="104"/>
      <c r="BD48" s="104"/>
      <c r="BE48" s="104"/>
      <c r="BF48" s="104"/>
      <c r="BH48" s="104"/>
      <c r="BI48" s="104"/>
      <c r="BJ48" s="104"/>
      <c r="BL48" s="104"/>
      <c r="BM48" s="104"/>
    </row>
    <row r="49" spans="2:65" s="253" customFormat="1" x14ac:dyDescent="0.15">
      <c r="B49" s="410"/>
      <c r="C49" s="179">
        <v>40299</v>
      </c>
      <c r="D49" s="180">
        <v>407.39018356560103</v>
      </c>
      <c r="E49" s="193">
        <f t="shared" si="23"/>
        <v>402.43278573188786</v>
      </c>
      <c r="F49" s="194">
        <f t="shared" si="22"/>
        <v>-3.5614494282552077E-3</v>
      </c>
      <c r="H49" s="144"/>
      <c r="I49" s="149">
        <f t="shared" si="26"/>
        <v>25.172565069836395</v>
      </c>
      <c r="L49" s="122"/>
      <c r="M49" s="132">
        <f t="shared" si="27"/>
        <v>35.990441199972103</v>
      </c>
      <c r="O49" s="144"/>
      <c r="P49" s="149">
        <f t="shared" si="28"/>
        <v>7657920.5787206916</v>
      </c>
      <c r="Q49" s="104"/>
      <c r="R49" s="104"/>
      <c r="S49" s="122"/>
      <c r="T49" s="132">
        <f t="shared" si="29"/>
        <v>9058235.0054275952</v>
      </c>
      <c r="AB49" s="144"/>
      <c r="AC49" s="149">
        <f t="shared" si="30"/>
        <v>103.38</v>
      </c>
      <c r="AD49" s="104"/>
      <c r="AE49" s="122"/>
      <c r="AF49" s="132">
        <f t="shared" si="31"/>
        <v>34595229</v>
      </c>
      <c r="AH49" s="236">
        <f t="shared" si="24"/>
        <v>55.956339358863687</v>
      </c>
      <c r="AI49" s="237">
        <f t="shared" si="25"/>
        <v>164.23464124153946</v>
      </c>
      <c r="AK49" s="265"/>
      <c r="AL49" s="266">
        <f t="shared" si="32"/>
        <v>140.02044847251392</v>
      </c>
      <c r="AM49" s="267"/>
      <c r="AO49" s="104"/>
      <c r="AP49" s="104"/>
      <c r="AR49" s="104"/>
      <c r="AS49" s="104"/>
      <c r="AU49" s="104"/>
      <c r="AV49" s="104"/>
      <c r="AX49" s="104"/>
      <c r="AY49" s="104"/>
      <c r="BA49" s="104"/>
      <c r="BB49" s="104"/>
      <c r="BD49" s="104"/>
      <c r="BE49" s="104"/>
      <c r="BF49" s="104"/>
      <c r="BH49" s="104"/>
      <c r="BI49" s="104"/>
      <c r="BJ49" s="104"/>
      <c r="BL49" s="104"/>
      <c r="BM49" s="104"/>
    </row>
    <row r="50" spans="2:65" s="253" customFormat="1" x14ac:dyDescent="0.15">
      <c r="B50" s="410"/>
      <c r="C50" s="179">
        <v>40330</v>
      </c>
      <c r="D50" s="180">
        <v>403.32210852343519</v>
      </c>
      <c r="E50" s="193">
        <f t="shared" si="23"/>
        <v>402.01726162909864</v>
      </c>
      <c r="F50" s="194">
        <f t="shared" si="22"/>
        <v>-1.0325304436454494E-3</v>
      </c>
      <c r="H50" s="144"/>
      <c r="I50" s="149">
        <f t="shared" si="26"/>
        <v>25.172565069836395</v>
      </c>
      <c r="L50" s="122"/>
      <c r="M50" s="132">
        <f t="shared" si="27"/>
        <v>35.990441199972103</v>
      </c>
      <c r="O50" s="144"/>
      <c r="P50" s="149">
        <f t="shared" si="28"/>
        <v>7657920.5787206916</v>
      </c>
      <c r="Q50" s="104"/>
      <c r="R50" s="104"/>
      <c r="S50" s="122"/>
      <c r="T50" s="132">
        <f t="shared" si="29"/>
        <v>9058235.0054275952</v>
      </c>
      <c r="AB50" s="144"/>
      <c r="AC50" s="149">
        <f t="shared" si="30"/>
        <v>103.38</v>
      </c>
      <c r="AD50" s="104"/>
      <c r="AE50" s="122"/>
      <c r="AF50" s="132">
        <f t="shared" si="31"/>
        <v>34595229</v>
      </c>
      <c r="AH50" s="236">
        <f t="shared" si="24"/>
        <v>55.75705368604681</v>
      </c>
      <c r="AI50" s="237">
        <f t="shared" si="25"/>
        <v>163.64972787239009</v>
      </c>
      <c r="AK50" s="265"/>
      <c r="AL50" s="266">
        <f t="shared" si="32"/>
        <v>140.02044847251392</v>
      </c>
      <c r="AM50" s="267"/>
      <c r="AO50" s="104"/>
      <c r="AP50" s="104"/>
      <c r="AR50" s="104"/>
      <c r="AS50" s="104"/>
      <c r="AU50" s="104"/>
      <c r="AV50" s="104"/>
      <c r="AX50" s="104"/>
      <c r="AY50" s="104"/>
      <c r="BA50" s="104"/>
      <c r="BB50" s="104"/>
      <c r="BD50" s="104"/>
      <c r="BE50" s="104"/>
      <c r="BF50" s="104"/>
      <c r="BH50" s="104"/>
      <c r="BI50" s="104"/>
      <c r="BJ50" s="104"/>
      <c r="BL50" s="104"/>
      <c r="BM50" s="104"/>
    </row>
    <row r="51" spans="2:65" s="253" customFormat="1" x14ac:dyDescent="0.15">
      <c r="B51" s="410"/>
      <c r="C51" s="179">
        <v>40360</v>
      </c>
      <c r="D51" s="180">
        <v>396.58684479206721</v>
      </c>
      <c r="E51" s="193">
        <f t="shared" si="23"/>
        <v>401.25490630571761</v>
      </c>
      <c r="F51" s="194">
        <f t="shared" si="22"/>
        <v>-1.8963248500617352E-3</v>
      </c>
      <c r="H51" s="144"/>
      <c r="I51" s="149">
        <f t="shared" si="26"/>
        <v>25.172565069836395</v>
      </c>
      <c r="L51" s="122"/>
      <c r="M51" s="132">
        <f t="shared" si="27"/>
        <v>35.990441199972103</v>
      </c>
      <c r="O51" s="144"/>
      <c r="P51" s="149">
        <f t="shared" si="28"/>
        <v>7657920.5787206916</v>
      </c>
      <c r="Q51" s="104"/>
      <c r="R51" s="104"/>
      <c r="S51" s="122"/>
      <c r="T51" s="132">
        <f t="shared" si="29"/>
        <v>9058235.0054275952</v>
      </c>
      <c r="AB51" s="144"/>
      <c r="AC51" s="149">
        <f t="shared" si="30"/>
        <v>103.38</v>
      </c>
      <c r="AD51" s="104"/>
      <c r="AE51" s="122"/>
      <c r="AF51" s="132">
        <f t="shared" si="31"/>
        <v>34595229</v>
      </c>
      <c r="AH51" s="236">
        <f t="shared" si="24"/>
        <v>55.699482830667989</v>
      </c>
      <c r="AI51" s="237">
        <f t="shared" si="25"/>
        <v>163.48075454626755</v>
      </c>
      <c r="AK51" s="265"/>
      <c r="AL51" s="266">
        <f t="shared" si="32"/>
        <v>140.02044847251392</v>
      </c>
      <c r="AM51" s="267"/>
      <c r="AO51" s="104"/>
      <c r="AP51" s="104"/>
      <c r="AR51" s="104"/>
      <c r="AS51" s="104"/>
      <c r="AU51" s="104"/>
      <c r="AV51" s="104"/>
      <c r="AX51" s="104"/>
      <c r="AY51" s="104"/>
      <c r="BA51" s="104"/>
      <c r="BB51" s="104"/>
      <c r="BD51" s="104"/>
      <c r="BE51" s="104"/>
      <c r="BF51" s="104"/>
      <c r="BH51" s="104"/>
      <c r="BI51" s="104"/>
      <c r="BJ51" s="104"/>
      <c r="BL51" s="104"/>
      <c r="BM51" s="104"/>
    </row>
    <row r="52" spans="2:65" s="253" customFormat="1" x14ac:dyDescent="0.15">
      <c r="B52" s="410"/>
      <c r="C52" s="179">
        <v>40391</v>
      </c>
      <c r="D52" s="180">
        <v>394.30438771850623</v>
      </c>
      <c r="E52" s="193">
        <f t="shared" si="23"/>
        <v>400.66227385575161</v>
      </c>
      <c r="F52" s="194">
        <f t="shared" si="22"/>
        <v>-1.4769475479372088E-3</v>
      </c>
      <c r="H52" s="144"/>
      <c r="I52" s="149">
        <f t="shared" si="26"/>
        <v>25.172565069836395</v>
      </c>
      <c r="L52" s="122"/>
      <c r="M52" s="132">
        <f t="shared" si="27"/>
        <v>35.990441199972103</v>
      </c>
      <c r="O52" s="144"/>
      <c r="P52" s="149">
        <f t="shared" si="28"/>
        <v>7657920.5787206916</v>
      </c>
      <c r="Q52" s="104"/>
      <c r="R52" s="104"/>
      <c r="S52" s="122"/>
      <c r="T52" s="132">
        <f t="shared" si="29"/>
        <v>9058235.0054275952</v>
      </c>
      <c r="AB52" s="144"/>
      <c r="AC52" s="149">
        <f t="shared" si="30"/>
        <v>103.38</v>
      </c>
      <c r="AD52" s="104"/>
      <c r="AE52" s="122"/>
      <c r="AF52" s="132">
        <f t="shared" si="31"/>
        <v>34595229</v>
      </c>
      <c r="AH52" s="242">
        <f t="shared" si="24"/>
        <v>55.593858517240605</v>
      </c>
      <c r="AI52" s="243">
        <f t="shared" si="25"/>
        <v>163.17074192891462</v>
      </c>
      <c r="AK52" s="265"/>
      <c r="AL52" s="266">
        <f t="shared" si="32"/>
        <v>140.02044847251392</v>
      </c>
      <c r="AM52" s="267"/>
      <c r="AO52" s="104"/>
      <c r="AP52" s="104"/>
      <c r="AR52" s="104"/>
      <c r="AS52" s="104"/>
      <c r="AU52" s="104"/>
      <c r="AV52" s="104"/>
      <c r="AX52" s="104"/>
      <c r="AY52" s="104"/>
      <c r="BA52" s="104"/>
      <c r="BB52" s="104"/>
      <c r="BD52" s="104"/>
      <c r="BE52" s="104"/>
      <c r="BF52" s="104"/>
      <c r="BH52" s="104"/>
      <c r="BI52" s="104"/>
      <c r="BJ52" s="104"/>
      <c r="BL52" s="104"/>
      <c r="BM52" s="104"/>
    </row>
    <row r="53" spans="2:65" s="253" customFormat="1" x14ac:dyDescent="0.15">
      <c r="B53" s="410"/>
      <c r="C53" s="179">
        <v>40422</v>
      </c>
      <c r="D53" s="180">
        <v>391.61683105576617</v>
      </c>
      <c r="E53" s="193">
        <f t="shared" si="23"/>
        <v>400.01769476611685</v>
      </c>
      <c r="F53" s="194">
        <f t="shared" si="22"/>
        <v>-1.6087840849893064E-3</v>
      </c>
      <c r="H53" s="144"/>
      <c r="I53" s="149">
        <f t="shared" si="26"/>
        <v>25.172565069836395</v>
      </c>
      <c r="L53" s="122"/>
      <c r="M53" s="132">
        <f t="shared" si="27"/>
        <v>35.990441199972103</v>
      </c>
      <c r="O53" s="144"/>
      <c r="P53" s="149">
        <f t="shared" si="28"/>
        <v>7657920.5787206916</v>
      </c>
      <c r="Q53" s="104"/>
      <c r="R53" s="104"/>
      <c r="S53" s="122"/>
      <c r="T53" s="132">
        <f t="shared" si="29"/>
        <v>9058235.0054275952</v>
      </c>
      <c r="AB53" s="144"/>
      <c r="AC53" s="149">
        <f t="shared" si="30"/>
        <v>103.38</v>
      </c>
      <c r="AD53" s="104"/>
      <c r="AE53" s="122"/>
      <c r="AF53" s="132">
        <f t="shared" si="31"/>
        <v>34595229</v>
      </c>
      <c r="AH53" s="242">
        <f t="shared" si="24"/>
        <v>55.511749304223194</v>
      </c>
      <c r="AI53" s="243">
        <f t="shared" si="25"/>
        <v>162.92974730172762</v>
      </c>
      <c r="AK53" s="265"/>
      <c r="AL53" s="266">
        <f t="shared" si="32"/>
        <v>140.02044847251392</v>
      </c>
      <c r="AM53" s="267"/>
      <c r="AO53" s="104"/>
      <c r="AP53" s="104"/>
      <c r="AR53" s="104"/>
      <c r="AS53" s="104"/>
      <c r="AU53" s="104"/>
      <c r="AV53" s="104"/>
      <c r="AX53" s="104"/>
      <c r="AY53" s="104"/>
      <c r="BA53" s="104"/>
      <c r="BB53" s="104"/>
      <c r="BD53" s="104"/>
      <c r="BE53" s="104"/>
      <c r="BF53" s="104"/>
      <c r="BH53" s="104"/>
      <c r="BI53" s="104"/>
      <c r="BJ53" s="104"/>
      <c r="BL53" s="104"/>
      <c r="BM53" s="104"/>
    </row>
    <row r="54" spans="2:65" s="253" customFormat="1" x14ac:dyDescent="0.15">
      <c r="B54" s="410"/>
      <c r="C54" s="179">
        <v>40452</v>
      </c>
      <c r="D54" s="180">
        <v>393.77861836235695</v>
      </c>
      <c r="E54" s="193">
        <f t="shared" si="23"/>
        <v>399.95836825874289</v>
      </c>
      <c r="F54" s="194">
        <f t="shared" si="22"/>
        <v>-1.4830970767090742E-4</v>
      </c>
      <c r="H54" s="144"/>
      <c r="I54" s="149">
        <f t="shared" si="26"/>
        <v>25.172565069836395</v>
      </c>
      <c r="L54" s="122"/>
      <c r="M54" s="132">
        <f t="shared" si="27"/>
        <v>35.990441199972103</v>
      </c>
      <c r="O54" s="144"/>
      <c r="P54" s="149">
        <f t="shared" si="28"/>
        <v>7657920.5787206916</v>
      </c>
      <c r="Q54" s="104"/>
      <c r="R54" s="104"/>
      <c r="S54" s="122"/>
      <c r="T54" s="132">
        <f t="shared" si="29"/>
        <v>9058235.0054275952</v>
      </c>
      <c r="AB54" s="144"/>
      <c r="AC54" s="149">
        <f t="shared" si="30"/>
        <v>103.38</v>
      </c>
      <c r="AD54" s="104"/>
      <c r="AE54" s="122"/>
      <c r="AF54" s="132">
        <f t="shared" si="31"/>
        <v>34595229</v>
      </c>
      <c r="AH54" s="242">
        <f t="shared" si="24"/>
        <v>55.422442885412643</v>
      </c>
      <c r="AI54" s="243">
        <f t="shared" si="25"/>
        <v>162.66762851729726</v>
      </c>
      <c r="AK54" s="265"/>
      <c r="AL54" s="266">
        <f t="shared" si="32"/>
        <v>140.02044847251392</v>
      </c>
      <c r="AM54" s="267"/>
      <c r="AO54" s="104"/>
      <c r="AP54" s="104"/>
      <c r="AR54" s="104"/>
      <c r="AS54" s="104"/>
      <c r="AU54" s="104"/>
      <c r="AV54" s="104"/>
      <c r="AX54" s="104"/>
      <c r="AY54" s="104"/>
      <c r="BA54" s="104"/>
      <c r="BB54" s="104"/>
      <c r="BD54" s="104"/>
      <c r="BE54" s="104"/>
      <c r="BF54" s="104"/>
      <c r="BH54" s="104"/>
      <c r="BI54" s="104"/>
      <c r="BJ54" s="104"/>
      <c r="BL54" s="104"/>
      <c r="BM54" s="104"/>
    </row>
    <row r="55" spans="2:65" s="253" customFormat="1" x14ac:dyDescent="0.15">
      <c r="B55" s="410"/>
      <c r="C55" s="179">
        <v>40483</v>
      </c>
      <c r="D55" s="180">
        <v>396.84834347366433</v>
      </c>
      <c r="E55" s="193">
        <f t="shared" si="23"/>
        <v>399.76728046786201</v>
      </c>
      <c r="F55" s="194">
        <f t="shared" si="22"/>
        <v>-4.777692031118256E-4</v>
      </c>
      <c r="H55" s="144"/>
      <c r="I55" s="149">
        <f t="shared" si="26"/>
        <v>25.172565069836395</v>
      </c>
      <c r="L55" s="122"/>
      <c r="M55" s="132">
        <f t="shared" si="27"/>
        <v>35.990441199972103</v>
      </c>
      <c r="O55" s="144"/>
      <c r="P55" s="149">
        <f t="shared" si="28"/>
        <v>7657920.5787206916</v>
      </c>
      <c r="Q55" s="104"/>
      <c r="R55" s="104"/>
      <c r="S55" s="122"/>
      <c r="T55" s="132">
        <f t="shared" si="29"/>
        <v>9058235.0054275952</v>
      </c>
      <c r="AB55" s="144"/>
      <c r="AC55" s="149">
        <f t="shared" si="30"/>
        <v>103.38</v>
      </c>
      <c r="AD55" s="104"/>
      <c r="AE55" s="122"/>
      <c r="AF55" s="132">
        <f t="shared" si="31"/>
        <v>34595229</v>
      </c>
      <c r="AH55" s="242">
        <f t="shared" si="24"/>
        <v>55.414223199109898</v>
      </c>
      <c r="AI55" s="243">
        <f t="shared" si="25"/>
        <v>162.64350332886434</v>
      </c>
      <c r="AK55" s="265"/>
      <c r="AL55" s="266">
        <f t="shared" si="32"/>
        <v>140.02044847251392</v>
      </c>
      <c r="AM55" s="267"/>
      <c r="AO55" s="104"/>
      <c r="AP55" s="104"/>
      <c r="AR55" s="104"/>
      <c r="AS55" s="104"/>
      <c r="AU55" s="104"/>
      <c r="AV55" s="104"/>
      <c r="AX55" s="104"/>
      <c r="AY55" s="104"/>
      <c r="BA55" s="104"/>
      <c r="BB55" s="104"/>
      <c r="BD55" s="104"/>
      <c r="BE55" s="104"/>
      <c r="BF55" s="104"/>
      <c r="BH55" s="104"/>
      <c r="BI55" s="104"/>
      <c r="BJ55" s="104"/>
      <c r="BL55" s="104"/>
      <c r="BM55" s="104"/>
    </row>
    <row r="56" spans="2:65" s="253" customFormat="1" ht="11.25" thickBot="1" x14ac:dyDescent="0.2">
      <c r="B56" s="411"/>
      <c r="C56" s="183">
        <v>40513</v>
      </c>
      <c r="D56" s="190">
        <v>398.71976136337753</v>
      </c>
      <c r="E56" s="190">
        <f t="shared" si="23"/>
        <v>399.78380909066738</v>
      </c>
      <c r="F56" s="192">
        <f t="shared" si="22"/>
        <v>4.1345611842028029E-5</v>
      </c>
      <c r="G56" s="315"/>
      <c r="H56" s="154"/>
      <c r="I56" s="147">
        <f t="shared" si="26"/>
        <v>25.172565069836395</v>
      </c>
      <c r="L56" s="118"/>
      <c r="M56" s="136">
        <f t="shared" si="27"/>
        <v>35.990441199972103</v>
      </c>
      <c r="O56" s="140"/>
      <c r="P56" s="147">
        <f t="shared" si="28"/>
        <v>7657920.5787206916</v>
      </c>
      <c r="Q56" s="104"/>
      <c r="R56" s="104"/>
      <c r="S56" s="118"/>
      <c r="T56" s="136">
        <f t="shared" si="29"/>
        <v>9058235.0054275952</v>
      </c>
      <c r="V56" s="315"/>
      <c r="W56" s="315"/>
      <c r="AB56" s="140"/>
      <c r="AC56" s="147">
        <f t="shared" si="30"/>
        <v>103.38</v>
      </c>
      <c r="AD56" s="104"/>
      <c r="AE56" s="118"/>
      <c r="AF56" s="136">
        <f t="shared" si="31"/>
        <v>34595229</v>
      </c>
      <c r="AH56" s="238">
        <f t="shared" si="24"/>
        <v>55.387747989851</v>
      </c>
      <c r="AI56" s="233">
        <f t="shared" si="25"/>
        <v>162.56579727188759</v>
      </c>
      <c r="AK56" s="272"/>
      <c r="AL56" s="260">
        <f t="shared" si="32"/>
        <v>140.02044847251392</v>
      </c>
      <c r="AM56" s="273"/>
      <c r="AO56" s="104"/>
      <c r="AP56" s="104"/>
      <c r="AR56" s="104"/>
      <c r="AS56" s="104"/>
      <c r="AU56" s="104"/>
      <c r="AV56" s="104"/>
      <c r="AX56" s="104"/>
      <c r="AY56" s="104"/>
      <c r="BA56" s="104"/>
      <c r="BB56" s="104"/>
      <c r="BD56" s="104"/>
      <c r="BE56" s="104"/>
      <c r="BF56" s="104"/>
      <c r="BH56" s="104"/>
      <c r="BI56" s="104"/>
      <c r="BJ56" s="104"/>
      <c r="BL56" s="104"/>
      <c r="BM56" s="104"/>
    </row>
    <row r="57" spans="2:65" s="253" customFormat="1" x14ac:dyDescent="0.15">
      <c r="B57" s="365">
        <v>2011</v>
      </c>
      <c r="C57" s="175">
        <v>40544</v>
      </c>
      <c r="D57" s="188">
        <v>400.35864892969795</v>
      </c>
      <c r="E57" s="188">
        <f t="shared" si="23"/>
        <v>399.55740363554759</v>
      </c>
      <c r="F57" s="189">
        <f t="shared" si="22"/>
        <v>-5.6631972073797009E-4</v>
      </c>
      <c r="H57" s="142"/>
      <c r="I57" s="153">
        <f>(1+((E56-E14)/E14))*H20*0.98</f>
        <v>24.328350851126498</v>
      </c>
      <c r="L57" s="120"/>
      <c r="M57" s="137">
        <f>(1+(($E$56-$E$14)/$E$14))*L$20*0.98</f>
        <v>34.783427051260382</v>
      </c>
      <c r="O57" s="142"/>
      <c r="P57" s="153">
        <f>(1+(($E$56-$E$14)/$E$14))*O$20*0.98</f>
        <v>7401096.3170544114</v>
      </c>
      <c r="Q57" s="104"/>
      <c r="R57" s="104"/>
      <c r="S57" s="120"/>
      <c r="T57" s="137">
        <f>(1+(($E$56-$E$14)/$E$14))*S$20*0.98</f>
        <v>8754448.2929180693</v>
      </c>
      <c r="AB57" s="142"/>
      <c r="AC57" s="153">
        <f>(1+(($E$56-$E$45)/$E$45))*AB$45*0.98</f>
        <v>98.100625409260033</v>
      </c>
      <c r="AD57" s="104"/>
      <c r="AE57" s="120"/>
      <c r="AF57" s="137">
        <f>(1+(($E$56-$E$45)/$E$45))*AE$45*0.98</f>
        <v>32828531.641290095</v>
      </c>
      <c r="AH57" s="244">
        <f>+AH56*(1+F56)*0.98</f>
        <v>54.282237269576591</v>
      </c>
      <c r="AI57" s="245">
        <f>AI56*(1+F56)*0.98</f>
        <v>159.32106828115556</v>
      </c>
      <c r="AK57" s="120"/>
      <c r="AL57" s="274">
        <f>(1+(($E$56-$E$14)/$E$14))*AK$20*0.98</f>
        <v>135.32457210144528</v>
      </c>
      <c r="AM57" s="137"/>
      <c r="AO57" s="104"/>
      <c r="AP57" s="104"/>
      <c r="AR57" s="104"/>
      <c r="AS57" s="104"/>
      <c r="AU57" s="104"/>
      <c r="AV57" s="104"/>
      <c r="AX57" s="104"/>
      <c r="AY57" s="104"/>
      <c r="BA57" s="104"/>
      <c r="BB57" s="104"/>
      <c r="BD57" s="104"/>
      <c r="BE57" s="104"/>
      <c r="BF57" s="104"/>
      <c r="BH57" s="104"/>
      <c r="BI57" s="104"/>
      <c r="BJ57" s="104"/>
      <c r="BL57" s="104"/>
      <c r="BM57" s="104"/>
    </row>
    <row r="58" spans="2:65" s="253" customFormat="1" x14ac:dyDescent="0.15">
      <c r="B58" s="366"/>
      <c r="C58" s="179">
        <v>40575</v>
      </c>
      <c r="D58" s="180">
        <v>404.8587401294518</v>
      </c>
      <c r="E58" s="193">
        <f t="shared" si="23"/>
        <v>399.35439905264047</v>
      </c>
      <c r="F58" s="194">
        <f t="shared" si="22"/>
        <v>-5.080736361283432E-4</v>
      </c>
      <c r="H58" s="144"/>
      <c r="I58" s="149">
        <f>$I$57</f>
        <v>24.328350851126498</v>
      </c>
      <c r="L58" s="122"/>
      <c r="M58" s="132">
        <f t="shared" ref="M58:M68" si="33">$M$57</f>
        <v>34.783427051260382</v>
      </c>
      <c r="O58" s="144"/>
      <c r="P58" s="149">
        <f t="shared" ref="P58:P68" si="34">$P$57</f>
        <v>7401096.3170544114</v>
      </c>
      <c r="Q58" s="104"/>
      <c r="R58" s="104"/>
      <c r="S58" s="122"/>
      <c r="T58" s="132">
        <f t="shared" ref="T58:T68" si="35">$T$57</f>
        <v>8754448.2929180693</v>
      </c>
      <c r="AB58" s="144"/>
      <c r="AC58" s="149">
        <f t="shared" ref="AC58:AC68" si="36">$AC$57</f>
        <v>98.100625409260033</v>
      </c>
      <c r="AD58" s="104"/>
      <c r="AE58" s="122"/>
      <c r="AF58" s="132">
        <f t="shared" ref="AF58:AF68" si="37">$AF$57</f>
        <v>32828531.641290095</v>
      </c>
      <c r="AH58" s="239">
        <f t="shared" ref="AH58:AH68" si="38">+AH57*(1+F57)</f>
        <v>54.251496168125051</v>
      </c>
      <c r="AI58" s="149">
        <f t="shared" ref="AI58:AI68" si="39">AI57*(1+F57)</f>
        <v>159.23084161825889</v>
      </c>
      <c r="AK58" s="122"/>
      <c r="AL58" s="258">
        <f t="shared" ref="AL58:AL68" si="40">$AL$57</f>
        <v>135.32457210144528</v>
      </c>
      <c r="AM58" s="132"/>
      <c r="AO58" s="104"/>
      <c r="AP58" s="104"/>
      <c r="AR58" s="104"/>
      <c r="AS58" s="104"/>
      <c r="AU58" s="104"/>
      <c r="AV58" s="104"/>
      <c r="AX58" s="104"/>
      <c r="AY58" s="104"/>
      <c r="BA58" s="104"/>
      <c r="BB58" s="104"/>
      <c r="BD58" s="104"/>
      <c r="BE58" s="104"/>
      <c r="BF58" s="104"/>
      <c r="BH58" s="104"/>
      <c r="BI58" s="104"/>
      <c r="BJ58" s="104"/>
      <c r="BL58" s="104"/>
      <c r="BM58" s="104"/>
    </row>
    <row r="59" spans="2:65" s="253" customFormat="1" x14ac:dyDescent="0.15">
      <c r="B59" s="366"/>
      <c r="C59" s="179">
        <v>40603</v>
      </c>
      <c r="D59" s="180">
        <v>404.74776652954552</v>
      </c>
      <c r="E59" s="193">
        <f t="shared" si="23"/>
        <v>399.57357763077607</v>
      </c>
      <c r="F59" s="194">
        <f t="shared" si="22"/>
        <v>5.4883226190956941E-4</v>
      </c>
      <c r="H59" s="144"/>
      <c r="I59" s="149">
        <f t="shared" ref="I59:I68" si="41">$I$57</f>
        <v>24.328350851126498</v>
      </c>
      <c r="L59" s="122"/>
      <c r="M59" s="132">
        <f t="shared" si="33"/>
        <v>34.783427051260382</v>
      </c>
      <c r="O59" s="144"/>
      <c r="P59" s="149">
        <f t="shared" si="34"/>
        <v>7401096.3170544114</v>
      </c>
      <c r="Q59" s="104"/>
      <c r="R59" s="104"/>
      <c r="S59" s="122"/>
      <c r="T59" s="132">
        <f t="shared" si="35"/>
        <v>8754448.2929180693</v>
      </c>
      <c r="AB59" s="144"/>
      <c r="AC59" s="149">
        <f t="shared" si="36"/>
        <v>98.100625409260033</v>
      </c>
      <c r="AD59" s="104"/>
      <c r="AE59" s="122"/>
      <c r="AF59" s="132">
        <f t="shared" si="37"/>
        <v>32828531.641290095</v>
      </c>
      <c r="AH59" s="239">
        <f t="shared" si="38"/>
        <v>54.22393241320151</v>
      </c>
      <c r="AI59" s="149">
        <f t="shared" si="39"/>
        <v>159.14994062557412</v>
      </c>
      <c r="AK59" s="122"/>
      <c r="AL59" s="258">
        <f t="shared" si="40"/>
        <v>135.32457210144528</v>
      </c>
      <c r="AM59" s="132"/>
      <c r="AO59" s="104"/>
      <c r="AP59" s="104"/>
      <c r="AR59" s="104"/>
      <c r="AS59" s="104"/>
      <c r="AU59" s="104"/>
      <c r="AV59" s="104"/>
      <c r="AX59" s="104"/>
      <c r="AY59" s="104"/>
      <c r="BA59" s="104"/>
      <c r="BB59" s="104"/>
      <c r="BD59" s="104"/>
      <c r="BE59" s="104"/>
      <c r="BF59" s="104"/>
      <c r="BH59" s="104"/>
      <c r="BI59" s="104"/>
      <c r="BJ59" s="104"/>
      <c r="BL59" s="104"/>
      <c r="BM59" s="104"/>
    </row>
    <row r="60" spans="2:65" s="253" customFormat="1" x14ac:dyDescent="0.15">
      <c r="B60" s="366"/>
      <c r="C60" s="179">
        <v>40634</v>
      </c>
      <c r="D60" s="180">
        <v>395.75391226969748</v>
      </c>
      <c r="E60" s="193">
        <f t="shared" si="23"/>
        <v>399.92566558764298</v>
      </c>
      <c r="F60" s="194">
        <f t="shared" si="22"/>
        <v>8.8115925721258593E-4</v>
      </c>
      <c r="H60" s="144"/>
      <c r="I60" s="149">
        <f t="shared" si="41"/>
        <v>24.328350851126498</v>
      </c>
      <c r="L60" s="122"/>
      <c r="M60" s="132">
        <f t="shared" si="33"/>
        <v>34.783427051260382</v>
      </c>
      <c r="O60" s="144"/>
      <c r="P60" s="149">
        <f t="shared" si="34"/>
        <v>7401096.3170544114</v>
      </c>
      <c r="Q60" s="104"/>
      <c r="R60" s="104"/>
      <c r="S60" s="122"/>
      <c r="T60" s="132">
        <f t="shared" si="35"/>
        <v>8754448.2929180693</v>
      </c>
      <c r="AB60" s="144"/>
      <c r="AC60" s="149">
        <f t="shared" si="36"/>
        <v>98.100625409260033</v>
      </c>
      <c r="AD60" s="104"/>
      <c r="AE60" s="122"/>
      <c r="AF60" s="132">
        <f t="shared" si="37"/>
        <v>32828531.641290095</v>
      </c>
      <c r="AH60" s="239">
        <f t="shared" si="38"/>
        <v>54.253692256677482</v>
      </c>
      <c r="AI60" s="149">
        <f t="shared" si="39"/>
        <v>159.23728724747042</v>
      </c>
      <c r="AK60" s="122"/>
      <c r="AL60" s="258">
        <f t="shared" si="40"/>
        <v>135.32457210144528</v>
      </c>
      <c r="AM60" s="132"/>
      <c r="AO60" s="104"/>
      <c r="AP60" s="104"/>
      <c r="AR60" s="104"/>
      <c r="AS60" s="104"/>
      <c r="AU60" s="104"/>
      <c r="AV60" s="104"/>
      <c r="AX60" s="104"/>
      <c r="AY60" s="104"/>
      <c r="BA60" s="104"/>
      <c r="BB60" s="104"/>
      <c r="BD60" s="104"/>
      <c r="BE60" s="104"/>
      <c r="BF60" s="104"/>
      <c r="BH60" s="104"/>
      <c r="BI60" s="104"/>
      <c r="BJ60" s="104"/>
      <c r="BL60" s="104"/>
      <c r="BM60" s="104"/>
    </row>
    <row r="61" spans="2:65" s="253" customFormat="1" x14ac:dyDescent="0.15">
      <c r="B61" s="366"/>
      <c r="C61" s="179">
        <v>40664</v>
      </c>
      <c r="D61" s="180">
        <v>400.68736273101609</v>
      </c>
      <c r="E61" s="193">
        <f t="shared" si="23"/>
        <v>399.02384555943058</v>
      </c>
      <c r="F61" s="194">
        <f t="shared" si="22"/>
        <v>-2.2549691250429793E-3</v>
      </c>
      <c r="H61" s="144"/>
      <c r="I61" s="149">
        <f t="shared" si="41"/>
        <v>24.328350851126498</v>
      </c>
      <c r="L61" s="122"/>
      <c r="M61" s="132">
        <f t="shared" si="33"/>
        <v>34.783427051260382</v>
      </c>
      <c r="O61" s="144"/>
      <c r="P61" s="149">
        <f t="shared" si="34"/>
        <v>7401096.3170544114</v>
      </c>
      <c r="Q61" s="104"/>
      <c r="R61" s="104"/>
      <c r="S61" s="122"/>
      <c r="T61" s="132">
        <f t="shared" si="35"/>
        <v>8754448.2929180693</v>
      </c>
      <c r="AB61" s="144"/>
      <c r="AC61" s="149">
        <f t="shared" si="36"/>
        <v>98.100625409260033</v>
      </c>
      <c r="AD61" s="104"/>
      <c r="AE61" s="122"/>
      <c r="AF61" s="132">
        <f t="shared" si="37"/>
        <v>32828531.641290095</v>
      </c>
      <c r="AH61" s="239">
        <f t="shared" si="38"/>
        <v>54.301498399847418</v>
      </c>
      <c r="AI61" s="149">
        <f t="shared" si="39"/>
        <v>159.37760065722196</v>
      </c>
      <c r="AK61" s="122"/>
      <c r="AL61" s="258">
        <f t="shared" si="40"/>
        <v>135.32457210144528</v>
      </c>
      <c r="AM61" s="132"/>
      <c r="AO61" s="104"/>
      <c r="AP61" s="104"/>
      <c r="AR61" s="104"/>
      <c r="AS61" s="104"/>
      <c r="AU61" s="104"/>
      <c r="AV61" s="104"/>
      <c r="AX61" s="104"/>
      <c r="AY61" s="104"/>
      <c r="BA61" s="104"/>
      <c r="BB61" s="104"/>
      <c r="BD61" s="104"/>
      <c r="BE61" s="104"/>
      <c r="BF61" s="104"/>
      <c r="BH61" s="104"/>
      <c r="BI61" s="104"/>
      <c r="BJ61" s="104"/>
      <c r="BL61" s="104"/>
      <c r="BM61" s="104"/>
    </row>
    <row r="62" spans="2:65" s="253" customFormat="1" x14ac:dyDescent="0.15">
      <c r="B62" s="366"/>
      <c r="C62" s="179">
        <v>40695</v>
      </c>
      <c r="D62" s="180">
        <v>397.33006212589879</v>
      </c>
      <c r="E62" s="193">
        <f t="shared" si="23"/>
        <v>398.46527715654855</v>
      </c>
      <c r="F62" s="194">
        <f t="shared" si="22"/>
        <v>-1.3998371503310017E-3</v>
      </c>
      <c r="H62" s="144"/>
      <c r="I62" s="149">
        <f t="shared" si="41"/>
        <v>24.328350851126498</v>
      </c>
      <c r="L62" s="122"/>
      <c r="M62" s="132">
        <f t="shared" si="33"/>
        <v>34.783427051260382</v>
      </c>
      <c r="O62" s="144"/>
      <c r="P62" s="149">
        <f t="shared" si="34"/>
        <v>7401096.3170544114</v>
      </c>
      <c r="Q62" s="104"/>
      <c r="R62" s="104"/>
      <c r="S62" s="122"/>
      <c r="T62" s="132">
        <f t="shared" si="35"/>
        <v>8754448.2929180693</v>
      </c>
      <c r="AB62" s="144"/>
      <c r="AC62" s="149">
        <f t="shared" si="36"/>
        <v>98.100625409260033</v>
      </c>
      <c r="AD62" s="104"/>
      <c r="AE62" s="122"/>
      <c r="AF62" s="132">
        <f t="shared" si="37"/>
        <v>32828531.641290095</v>
      </c>
      <c r="AH62" s="239">
        <f t="shared" si="38"/>
        <v>54.17905019751219</v>
      </c>
      <c r="AI62" s="149">
        <f t="shared" si="39"/>
        <v>159.0182090885165</v>
      </c>
      <c r="AK62" s="122"/>
      <c r="AL62" s="258">
        <f t="shared" si="40"/>
        <v>135.32457210144528</v>
      </c>
      <c r="AM62" s="132"/>
      <c r="AO62" s="104"/>
      <c r="AP62" s="104"/>
      <c r="AR62" s="104"/>
      <c r="AS62" s="104"/>
      <c r="AU62" s="104"/>
      <c r="AV62" s="104"/>
      <c r="AX62" s="104"/>
      <c r="AY62" s="104"/>
      <c r="BA62" s="104"/>
      <c r="BB62" s="104"/>
      <c r="BD62" s="104"/>
      <c r="BE62" s="104"/>
      <c r="BF62" s="104"/>
      <c r="BH62" s="104"/>
      <c r="BI62" s="104"/>
      <c r="BJ62" s="104"/>
      <c r="BL62" s="104"/>
      <c r="BM62" s="104"/>
    </row>
    <row r="63" spans="2:65" s="253" customFormat="1" x14ac:dyDescent="0.15">
      <c r="B63" s="366"/>
      <c r="C63" s="179">
        <v>40725</v>
      </c>
      <c r="D63" s="180">
        <v>396.44</v>
      </c>
      <c r="E63" s="193">
        <f t="shared" si="23"/>
        <v>397.9659399567538</v>
      </c>
      <c r="F63" s="194">
        <f t="shared" si="22"/>
        <v>-1.2531510985299052E-3</v>
      </c>
      <c r="H63" s="144"/>
      <c r="I63" s="149">
        <f t="shared" si="41"/>
        <v>24.328350851126498</v>
      </c>
      <c r="L63" s="122"/>
      <c r="M63" s="132">
        <f t="shared" si="33"/>
        <v>34.783427051260382</v>
      </c>
      <c r="O63" s="144"/>
      <c r="P63" s="149">
        <f t="shared" si="34"/>
        <v>7401096.3170544114</v>
      </c>
      <c r="Q63" s="104"/>
      <c r="R63" s="104"/>
      <c r="S63" s="122"/>
      <c r="T63" s="132">
        <f t="shared" si="35"/>
        <v>8754448.2929180693</v>
      </c>
      <c r="AB63" s="144"/>
      <c r="AC63" s="149">
        <f t="shared" si="36"/>
        <v>98.100625409260033</v>
      </c>
      <c r="AD63" s="104"/>
      <c r="AE63" s="122"/>
      <c r="AF63" s="132">
        <f t="shared" si="37"/>
        <v>32828531.641290095</v>
      </c>
      <c r="AH63" s="239">
        <f t="shared" si="38"/>
        <v>54.103208350276063</v>
      </c>
      <c r="AI63" s="149">
        <f t="shared" si="39"/>
        <v>158.79560949185529</v>
      </c>
      <c r="AK63" s="122"/>
      <c r="AL63" s="258">
        <f t="shared" si="40"/>
        <v>135.32457210144528</v>
      </c>
      <c r="AM63" s="132"/>
      <c r="AO63" s="104"/>
      <c r="AP63" s="104"/>
      <c r="AR63" s="104"/>
      <c r="AS63" s="104"/>
      <c r="AU63" s="104"/>
      <c r="AV63" s="104"/>
      <c r="AX63" s="104"/>
      <c r="AY63" s="104"/>
      <c r="BA63" s="104"/>
      <c r="BB63" s="104"/>
      <c r="BD63" s="104"/>
      <c r="BE63" s="104"/>
      <c r="BF63" s="104"/>
      <c r="BH63" s="104"/>
      <c r="BI63" s="104"/>
      <c r="BJ63" s="104"/>
      <c r="BL63" s="104"/>
      <c r="BM63" s="104"/>
    </row>
    <row r="64" spans="2:65" s="253" customFormat="1" x14ac:dyDescent="0.15">
      <c r="B64" s="366"/>
      <c r="C64" s="179">
        <v>40756</v>
      </c>
      <c r="D64" s="180">
        <v>397.1060915696753</v>
      </c>
      <c r="E64" s="193">
        <f t="shared" si="23"/>
        <v>397.95370289074822</v>
      </c>
      <c r="F64" s="194">
        <f t="shared" si="22"/>
        <v>-3.0749028439247701E-5</v>
      </c>
      <c r="H64" s="144"/>
      <c r="I64" s="149">
        <f t="shared" si="41"/>
        <v>24.328350851126498</v>
      </c>
      <c r="L64" s="122"/>
      <c r="M64" s="132">
        <f t="shared" si="33"/>
        <v>34.783427051260382</v>
      </c>
      <c r="O64" s="144"/>
      <c r="P64" s="149">
        <f t="shared" si="34"/>
        <v>7401096.3170544114</v>
      </c>
      <c r="Q64" s="104"/>
      <c r="R64" s="104"/>
      <c r="S64" s="122"/>
      <c r="T64" s="132">
        <f t="shared" si="35"/>
        <v>8754448.2929180693</v>
      </c>
      <c r="AB64" s="144"/>
      <c r="AC64" s="149">
        <f t="shared" si="36"/>
        <v>98.100625409260033</v>
      </c>
      <c r="AD64" s="104"/>
      <c r="AE64" s="122"/>
      <c r="AF64" s="132">
        <f t="shared" si="37"/>
        <v>32828531.641290095</v>
      </c>
      <c r="AH64" s="239">
        <f t="shared" si="38"/>
        <v>54.035408855297923</v>
      </c>
      <c r="AI64" s="149">
        <f t="shared" si="39"/>
        <v>158.59661459937885</v>
      </c>
      <c r="AK64" s="122"/>
      <c r="AL64" s="258">
        <f t="shared" si="40"/>
        <v>135.32457210144528</v>
      </c>
      <c r="AM64" s="132"/>
      <c r="AO64" s="104"/>
      <c r="AP64" s="104"/>
      <c r="AR64" s="104"/>
      <c r="AS64" s="104"/>
      <c r="AU64" s="104"/>
      <c r="AV64" s="104"/>
      <c r="AX64" s="104"/>
      <c r="AY64" s="104"/>
      <c r="BA64" s="104"/>
      <c r="BB64" s="104"/>
      <c r="BD64" s="104"/>
      <c r="BE64" s="104"/>
      <c r="BF64" s="104"/>
      <c r="BH64" s="104"/>
      <c r="BI64" s="104"/>
      <c r="BJ64" s="104"/>
      <c r="BL64" s="104"/>
      <c r="BM64" s="104"/>
    </row>
    <row r="65" spans="2:65" s="253" customFormat="1" x14ac:dyDescent="0.15">
      <c r="B65" s="366"/>
      <c r="C65" s="179">
        <v>40787</v>
      </c>
      <c r="D65" s="180">
        <v>409.00960258496718</v>
      </c>
      <c r="E65" s="193">
        <f t="shared" si="23"/>
        <v>398.18717821167894</v>
      </c>
      <c r="F65" s="194">
        <f t="shared" si="22"/>
        <v>5.8668965569298704E-4</v>
      </c>
      <c r="H65" s="144"/>
      <c r="I65" s="149">
        <f t="shared" si="41"/>
        <v>24.328350851126498</v>
      </c>
      <c r="L65" s="122"/>
      <c r="M65" s="132">
        <f t="shared" si="33"/>
        <v>34.783427051260382</v>
      </c>
      <c r="O65" s="144"/>
      <c r="P65" s="149">
        <f t="shared" si="34"/>
        <v>7401096.3170544114</v>
      </c>
      <c r="Q65" s="104"/>
      <c r="R65" s="104"/>
      <c r="S65" s="122"/>
      <c r="T65" s="132">
        <f t="shared" si="35"/>
        <v>8754448.2929180693</v>
      </c>
      <c r="AB65" s="144"/>
      <c r="AC65" s="149">
        <f t="shared" si="36"/>
        <v>98.100625409260033</v>
      </c>
      <c r="AD65" s="104"/>
      <c r="AE65" s="122"/>
      <c r="AF65" s="132">
        <f t="shared" si="37"/>
        <v>32828531.641290095</v>
      </c>
      <c r="AH65" s="239">
        <f t="shared" si="38"/>
        <v>54.033747318974306</v>
      </c>
      <c r="AI65" s="149">
        <f t="shared" si="39"/>
        <v>158.59173790756617</v>
      </c>
      <c r="AK65" s="122"/>
      <c r="AL65" s="258">
        <f t="shared" si="40"/>
        <v>135.32457210144528</v>
      </c>
      <c r="AM65" s="132"/>
      <c r="AO65" s="104"/>
      <c r="AP65" s="104"/>
      <c r="AR65" s="104"/>
      <c r="AS65" s="104"/>
      <c r="AU65" s="104"/>
      <c r="AV65" s="104"/>
      <c r="AX65" s="104"/>
      <c r="AY65" s="104"/>
      <c r="BA65" s="104"/>
      <c r="BB65" s="104"/>
      <c r="BD65" s="104"/>
      <c r="BE65" s="104"/>
      <c r="BF65" s="104"/>
      <c r="BH65" s="104"/>
      <c r="BI65" s="104"/>
      <c r="BJ65" s="104"/>
      <c r="BL65" s="104"/>
      <c r="BM65" s="104"/>
    </row>
    <row r="66" spans="2:65" s="253" customFormat="1" x14ac:dyDescent="0.15">
      <c r="B66" s="366"/>
      <c r="C66" s="179">
        <v>40817</v>
      </c>
      <c r="D66" s="180">
        <v>405.91890353243861</v>
      </c>
      <c r="E66" s="193">
        <f t="shared" si="23"/>
        <v>399.63657583911237</v>
      </c>
      <c r="F66" s="194">
        <f t="shared" si="22"/>
        <v>3.6399907047306224E-3</v>
      </c>
      <c r="H66" s="144"/>
      <c r="I66" s="149">
        <f t="shared" si="41"/>
        <v>24.328350851126498</v>
      </c>
      <c r="L66" s="122"/>
      <c r="M66" s="132">
        <f t="shared" si="33"/>
        <v>34.783427051260382</v>
      </c>
      <c r="O66" s="144"/>
      <c r="P66" s="149">
        <f t="shared" si="34"/>
        <v>7401096.3170544114</v>
      </c>
      <c r="Q66" s="104"/>
      <c r="R66" s="104"/>
      <c r="S66" s="122"/>
      <c r="T66" s="132">
        <f t="shared" si="35"/>
        <v>8754448.2929180693</v>
      </c>
      <c r="AB66" s="144"/>
      <c r="AC66" s="149">
        <f t="shared" si="36"/>
        <v>98.100625409260033</v>
      </c>
      <c r="AD66" s="104"/>
      <c r="AE66" s="122"/>
      <c r="AF66" s="132">
        <f t="shared" si="37"/>
        <v>32828531.641290095</v>
      </c>
      <c r="AH66" s="239">
        <f t="shared" si="38"/>
        <v>54.065448359584678</v>
      </c>
      <c r="AI66" s="149">
        <f t="shared" si="39"/>
        <v>158.6847820396749</v>
      </c>
      <c r="AK66" s="122"/>
      <c r="AL66" s="258">
        <f t="shared" si="40"/>
        <v>135.32457210144528</v>
      </c>
      <c r="AM66" s="132"/>
      <c r="AO66" s="104"/>
      <c r="AP66" s="104"/>
      <c r="AR66" s="104"/>
      <c r="AS66" s="104"/>
      <c r="AU66" s="104"/>
      <c r="AV66" s="104"/>
      <c r="AX66" s="104"/>
      <c r="AY66" s="104"/>
      <c r="BA66" s="104"/>
      <c r="BB66" s="104"/>
      <c r="BD66" s="104"/>
      <c r="BE66" s="104"/>
      <c r="BF66" s="104"/>
      <c r="BH66" s="104"/>
      <c r="BI66" s="104"/>
      <c r="BJ66" s="104"/>
      <c r="BL66" s="104"/>
      <c r="BM66" s="104"/>
    </row>
    <row r="67" spans="2:65" s="253" customFormat="1" x14ac:dyDescent="0.15">
      <c r="B67" s="366"/>
      <c r="C67" s="179">
        <v>40848</v>
      </c>
      <c r="D67" s="180">
        <v>414.56822323445783</v>
      </c>
      <c r="E67" s="193">
        <f t="shared" si="23"/>
        <v>400.64826626995256</v>
      </c>
      <c r="F67" s="194">
        <f t="shared" si="22"/>
        <v>2.5315261214916454E-3</v>
      </c>
      <c r="H67" s="144"/>
      <c r="I67" s="149">
        <f t="shared" si="41"/>
        <v>24.328350851126498</v>
      </c>
      <c r="L67" s="122"/>
      <c r="M67" s="132">
        <f t="shared" si="33"/>
        <v>34.783427051260382</v>
      </c>
      <c r="O67" s="144"/>
      <c r="P67" s="149">
        <f t="shared" si="34"/>
        <v>7401096.3170544114</v>
      </c>
      <c r="Q67" s="104"/>
      <c r="R67" s="104"/>
      <c r="S67" s="122"/>
      <c r="T67" s="132">
        <f t="shared" si="35"/>
        <v>8754448.2929180693</v>
      </c>
      <c r="AB67" s="144"/>
      <c r="AC67" s="149">
        <f t="shared" si="36"/>
        <v>98.100625409260033</v>
      </c>
      <c r="AD67" s="104"/>
      <c r="AE67" s="122"/>
      <c r="AF67" s="132">
        <f t="shared" si="37"/>
        <v>32828531.641290095</v>
      </c>
      <c r="AH67" s="239">
        <f t="shared" si="38"/>
        <v>54.26224608906066</v>
      </c>
      <c r="AI67" s="149">
        <f t="shared" si="39"/>
        <v>159.26239317128153</v>
      </c>
      <c r="AK67" s="122"/>
      <c r="AL67" s="258">
        <f t="shared" si="40"/>
        <v>135.32457210144528</v>
      </c>
      <c r="AM67" s="132"/>
      <c r="AO67" s="104"/>
      <c r="AP67" s="104"/>
      <c r="AR67" s="104"/>
      <c r="AS67" s="104"/>
      <c r="AU67" s="104"/>
      <c r="AV67" s="104"/>
      <c r="AX67" s="104"/>
      <c r="AY67" s="104"/>
      <c r="BA67" s="104"/>
      <c r="BB67" s="104"/>
      <c r="BD67" s="104"/>
      <c r="BE67" s="104"/>
      <c r="BF67" s="104"/>
      <c r="BH67" s="104"/>
      <c r="BI67" s="104"/>
      <c r="BJ67" s="104"/>
      <c r="BL67" s="104"/>
      <c r="BM67" s="104"/>
    </row>
    <row r="68" spans="2:65" s="253" customFormat="1" ht="11.25" thickBot="1" x14ac:dyDescent="0.2">
      <c r="B68" s="367"/>
      <c r="C68" s="183">
        <v>40878</v>
      </c>
      <c r="D68" s="190">
        <v>412.72469594173299</v>
      </c>
      <c r="E68" s="191">
        <f t="shared" si="23"/>
        <v>402.12492291668536</v>
      </c>
      <c r="F68" s="192">
        <f t="shared" si="22"/>
        <v>3.6856683805985835E-3</v>
      </c>
      <c r="H68" s="154"/>
      <c r="I68" s="147">
        <f t="shared" si="41"/>
        <v>24.328350851126498</v>
      </c>
      <c r="L68" s="138"/>
      <c r="M68" s="136">
        <f t="shared" si="33"/>
        <v>34.783427051260382</v>
      </c>
      <c r="O68" s="154"/>
      <c r="P68" s="147">
        <f t="shared" si="34"/>
        <v>7401096.3170544114</v>
      </c>
      <c r="Q68" s="104"/>
      <c r="R68" s="104"/>
      <c r="S68" s="138"/>
      <c r="T68" s="136">
        <f t="shared" si="35"/>
        <v>8754448.2929180693</v>
      </c>
      <c r="AB68" s="154"/>
      <c r="AC68" s="147">
        <f t="shared" si="36"/>
        <v>98.100625409260033</v>
      </c>
      <c r="AD68" s="104"/>
      <c r="AE68" s="138"/>
      <c r="AF68" s="136">
        <f t="shared" si="37"/>
        <v>32828531.641290095</v>
      </c>
      <c r="AH68" s="246">
        <f t="shared" si="38"/>
        <v>54.399612382445923</v>
      </c>
      <c r="AI68" s="147">
        <f t="shared" si="39"/>
        <v>159.6655700797659</v>
      </c>
      <c r="AK68" s="138"/>
      <c r="AL68" s="275">
        <f t="shared" si="40"/>
        <v>135.32457210144528</v>
      </c>
      <c r="AM68" s="134"/>
      <c r="AO68" s="104"/>
      <c r="AP68" s="104"/>
      <c r="AR68" s="104"/>
      <c r="AS68" s="104"/>
      <c r="AU68" s="104"/>
      <c r="AV68" s="104"/>
      <c r="AX68" s="104"/>
      <c r="AY68" s="104"/>
      <c r="BA68" s="104"/>
      <c r="BB68" s="104"/>
      <c r="BD68" s="104"/>
      <c r="BE68" s="104"/>
      <c r="BF68" s="104"/>
      <c r="BH68" s="104"/>
      <c r="BI68" s="104"/>
      <c r="BJ68" s="104"/>
      <c r="BL68" s="104"/>
      <c r="BM68" s="104"/>
    </row>
    <row r="69" spans="2:65" s="253" customFormat="1" x14ac:dyDescent="0.15">
      <c r="B69" s="365">
        <v>2012</v>
      </c>
      <c r="C69" s="175">
        <v>40909</v>
      </c>
      <c r="D69" s="188">
        <v>408.72844626115989</v>
      </c>
      <c r="E69" s="188">
        <f t="shared" ref="E69:E88" si="42">AVERAGE(D57:D68)</f>
        <v>403.29200079821493</v>
      </c>
      <c r="F69" s="195">
        <f t="shared" si="22"/>
        <v>2.9022769169951869E-3</v>
      </c>
      <c r="H69" s="142"/>
      <c r="I69" s="153">
        <f>(1+((E68-E14)/E14))*H20*0.98</f>
        <v>24.470816446897715</v>
      </c>
      <c r="L69" s="120"/>
      <c r="M69" s="137">
        <f>(1+(($E$68-$E$14)/$E$14))*L$20*0.98</f>
        <v>34.987117046038357</v>
      </c>
      <c r="O69" s="142"/>
      <c r="P69" s="153">
        <f>(1+(($E$68-$E$14)/$E$14))*O$20*0.98</f>
        <v>7444436.7638697997</v>
      </c>
      <c r="Q69" s="104"/>
      <c r="R69" s="104"/>
      <c r="S69" s="120"/>
      <c r="T69" s="137">
        <f>(1+(($E$68-$E$14)/$E$14))*S$20*0.98</f>
        <v>8805713.9006582331</v>
      </c>
      <c r="AB69" s="142"/>
      <c r="AC69" s="153">
        <f>(1+(($E$68-$E$45)/$E$45))*AB$45*0.98</f>
        <v>98.675097724707285</v>
      </c>
      <c r="AD69" s="104"/>
      <c r="AE69" s="120"/>
      <c r="AF69" s="137">
        <f>(1+(($E$68-$E$45)/$E$45))*AE$45*0.98</f>
        <v>33020773.867127366</v>
      </c>
      <c r="AH69" s="244">
        <f>AH68*(1+F68)*0.98</f>
        <v>53.508109087446307</v>
      </c>
      <c r="AI69" s="153">
        <f>AI68*(1+F68)*0.98</f>
        <v>157.04896353442155</v>
      </c>
      <c r="AK69" s="120"/>
      <c r="AL69" s="274">
        <f>(1+(($E$68-$E$14)/$E$14))*AK$20*0.98</f>
        <v>136.11702597161894</v>
      </c>
      <c r="AM69" s="137">
        <f>AL69</f>
        <v>136.11702597161894</v>
      </c>
      <c r="AO69" s="104"/>
      <c r="AP69" s="104"/>
      <c r="AR69" s="223">
        <v>33.61</v>
      </c>
      <c r="AS69" s="281"/>
      <c r="AU69" s="104"/>
      <c r="AV69" s="104"/>
      <c r="AX69" s="223"/>
      <c r="AY69" s="281">
        <f>(685.76)*0.98*(1+(($E$68-$E$57)/$E$57))</f>
        <v>676.36329833362686</v>
      </c>
      <c r="BA69" s="210"/>
      <c r="BB69" s="283">
        <f>(813.52)*0.98*(1+(($E$68-$E$57)/$E$57))</f>
        <v>802.37265291118183</v>
      </c>
      <c r="BD69" s="104"/>
      <c r="BE69" s="104"/>
      <c r="BF69" s="104"/>
      <c r="BH69" s="104"/>
      <c r="BI69" s="104"/>
      <c r="BJ69" s="104"/>
      <c r="BL69" s="104"/>
      <c r="BM69" s="104"/>
    </row>
    <row r="70" spans="2:65" s="253" customFormat="1" x14ac:dyDescent="0.15">
      <c r="B70" s="366"/>
      <c r="C70" s="179">
        <v>40940</v>
      </c>
      <c r="D70" s="180">
        <v>404.8355013651227</v>
      </c>
      <c r="E70" s="193">
        <f t="shared" si="42"/>
        <v>403.98948390917008</v>
      </c>
      <c r="F70" s="194">
        <f t="shared" si="22"/>
        <v>1.7294742012602662E-3</v>
      </c>
      <c r="H70" s="144"/>
      <c r="I70" s="149">
        <f t="shared" ref="I70:I80" si="43">$I$69</f>
        <v>24.470816446897715</v>
      </c>
      <c r="L70" s="122"/>
      <c r="M70" s="132">
        <f t="shared" ref="M70:M80" si="44">$M$69</f>
        <v>34.987117046038357</v>
      </c>
      <c r="O70" s="144"/>
      <c r="P70" s="149">
        <f t="shared" ref="P70:P80" si="45">$P$69</f>
        <v>7444436.7638697997</v>
      </c>
      <c r="Q70" s="104"/>
      <c r="R70" s="104"/>
      <c r="S70" s="122"/>
      <c r="T70" s="132">
        <f>$T$69</f>
        <v>8805713.9006582331</v>
      </c>
      <c r="AB70" s="144"/>
      <c r="AC70" s="149">
        <f>AC69</f>
        <v>98.675097724707285</v>
      </c>
      <c r="AD70" s="104"/>
      <c r="AE70" s="122"/>
      <c r="AF70" s="132">
        <f>AF69</f>
        <v>33020773.867127366</v>
      </c>
      <c r="AH70" s="239">
        <f t="shared" ref="AH70:AH80" si="46">AH69*(1+F69)</f>
        <v>53.663404437322868</v>
      </c>
      <c r="AI70" s="149">
        <f t="shared" ref="AI70:AI80" si="47">AI69*(1+F69)</f>
        <v>157.50476311612553</v>
      </c>
      <c r="AK70" s="122"/>
      <c r="AL70" s="258">
        <f>$AL$69</f>
        <v>136.11702597161894</v>
      </c>
      <c r="AM70" s="132">
        <f t="shared" ref="AM70:AM80" si="48">$AM$69</f>
        <v>136.11702597161894</v>
      </c>
      <c r="AO70" s="104"/>
      <c r="AP70" s="104"/>
      <c r="AR70" s="225">
        <v>33.61</v>
      </c>
      <c r="AS70" s="132"/>
      <c r="AU70" s="104"/>
      <c r="AV70" s="104"/>
      <c r="AX70" s="225"/>
      <c r="AY70" s="132">
        <f t="shared" ref="AY70:AY80" si="49">$AY$69</f>
        <v>676.36329833362686</v>
      </c>
      <c r="BA70" s="211"/>
      <c r="BB70" s="149">
        <f t="shared" ref="BB70:BB80" si="50">(813.52)*0.98*(1+(($E$68-$E$57)/$E$57))</f>
        <v>802.37265291118183</v>
      </c>
      <c r="BD70" s="104"/>
      <c r="BE70" s="104"/>
      <c r="BF70" s="104"/>
      <c r="BH70" s="104"/>
      <c r="BI70" s="104"/>
      <c r="BJ70" s="104"/>
      <c r="BL70" s="104"/>
      <c r="BM70" s="104"/>
    </row>
    <row r="71" spans="2:65" s="253" customFormat="1" x14ac:dyDescent="0.15">
      <c r="B71" s="366"/>
      <c r="C71" s="179">
        <v>40969</v>
      </c>
      <c r="D71" s="180">
        <v>406.64922493563029</v>
      </c>
      <c r="E71" s="193">
        <f t="shared" si="42"/>
        <v>403.987547345476</v>
      </c>
      <c r="F71" s="194">
        <f t="shared" si="22"/>
        <v>-4.7935992673234007E-6</v>
      </c>
      <c r="H71" s="144"/>
      <c r="I71" s="149">
        <f t="shared" si="43"/>
        <v>24.470816446897715</v>
      </c>
      <c r="L71" s="122"/>
      <c r="M71" s="132">
        <f t="shared" si="44"/>
        <v>34.987117046038357</v>
      </c>
      <c r="O71" s="144"/>
      <c r="P71" s="149">
        <f t="shared" si="45"/>
        <v>7444436.7638697997</v>
      </c>
      <c r="Q71" s="104"/>
      <c r="R71" s="104"/>
      <c r="S71" s="122"/>
      <c r="T71" s="132">
        <f t="shared" ref="T71:T80" si="51">$T$69</f>
        <v>8805713.9006582331</v>
      </c>
      <c r="AB71" s="144"/>
      <c r="AC71" s="149">
        <f>AC70</f>
        <v>98.675097724707285</v>
      </c>
      <c r="AD71" s="104"/>
      <c r="AE71" s="122"/>
      <c r="AF71" s="132">
        <f>AF70</f>
        <v>33020773.867127366</v>
      </c>
      <c r="AH71" s="239">
        <f t="shared" si="46"/>
        <v>53.75621391084902</v>
      </c>
      <c r="AI71" s="149">
        <f t="shared" si="47"/>
        <v>157.77716354051049</v>
      </c>
      <c r="AK71" s="122"/>
      <c r="AL71" s="258">
        <f>$AL$69</f>
        <v>136.11702597161894</v>
      </c>
      <c r="AM71" s="132">
        <f t="shared" si="48"/>
        <v>136.11702597161894</v>
      </c>
      <c r="AO71" s="104"/>
      <c r="AP71" s="104"/>
      <c r="AR71" s="225">
        <v>33.61</v>
      </c>
      <c r="AS71" s="132"/>
      <c r="AU71" s="104"/>
      <c r="AV71" s="104"/>
      <c r="AX71" s="225"/>
      <c r="AY71" s="132">
        <f t="shared" si="49"/>
        <v>676.36329833362686</v>
      </c>
      <c r="BA71" s="211"/>
      <c r="BB71" s="149">
        <f t="shared" si="50"/>
        <v>802.37265291118183</v>
      </c>
      <c r="BD71" s="104"/>
      <c r="BE71" s="104"/>
      <c r="BF71" s="104"/>
      <c r="BH71" s="104"/>
      <c r="BI71" s="104"/>
      <c r="BJ71" s="104"/>
      <c r="BL71" s="104"/>
      <c r="BM71" s="104"/>
    </row>
    <row r="72" spans="2:65" s="253" customFormat="1" x14ac:dyDescent="0.15">
      <c r="B72" s="366"/>
      <c r="C72" s="179">
        <v>41000</v>
      </c>
      <c r="D72" s="180">
        <v>404.28</v>
      </c>
      <c r="E72" s="193">
        <f t="shared" si="42"/>
        <v>404.14600221264982</v>
      </c>
      <c r="F72" s="194">
        <f t="shared" ref="F72:F88" si="52">(E72-E71)/E71</f>
        <v>3.9222710753089411E-4</v>
      </c>
      <c r="H72" s="144"/>
      <c r="I72" s="149">
        <f t="shared" si="43"/>
        <v>24.470816446897715</v>
      </c>
      <c r="L72" s="122"/>
      <c r="M72" s="132">
        <f t="shared" si="44"/>
        <v>34.987117046038357</v>
      </c>
      <c r="O72" s="144"/>
      <c r="P72" s="149">
        <f t="shared" si="45"/>
        <v>7444436.7638697997</v>
      </c>
      <c r="Q72" s="104"/>
      <c r="R72" s="104"/>
      <c r="S72" s="122"/>
      <c r="T72" s="132">
        <f t="shared" si="51"/>
        <v>8805713.9006582331</v>
      </c>
      <c r="AB72" s="200">
        <v>84.15</v>
      </c>
      <c r="AC72" s="201">
        <f>+AB72</f>
        <v>84.15</v>
      </c>
      <c r="AD72" s="104"/>
      <c r="AE72" s="217">
        <v>29881618.23</v>
      </c>
      <c r="AF72" s="218"/>
      <c r="AH72" s="239">
        <f t="shared" si="46"/>
        <v>53.755956225101407</v>
      </c>
      <c r="AI72" s="149">
        <f t="shared" si="47"/>
        <v>157.77640722001493</v>
      </c>
      <c r="AK72" s="122"/>
      <c r="AL72" s="276">
        <v>90.21</v>
      </c>
      <c r="AM72" s="132">
        <f t="shared" si="48"/>
        <v>136.11702597161894</v>
      </c>
      <c r="AO72" s="104"/>
      <c r="AP72" s="104"/>
      <c r="AR72" s="225">
        <v>33.61</v>
      </c>
      <c r="AS72" s="132"/>
      <c r="AU72" s="104"/>
      <c r="AV72" s="104"/>
      <c r="AX72" s="225"/>
      <c r="AY72" s="132">
        <f t="shared" si="49"/>
        <v>676.36329833362686</v>
      </c>
      <c r="BA72" s="211"/>
      <c r="BB72" s="149">
        <f t="shared" si="50"/>
        <v>802.37265291118183</v>
      </c>
      <c r="BD72" s="104"/>
      <c r="BE72" s="104"/>
      <c r="BF72" s="104"/>
      <c r="BH72" s="104"/>
      <c r="BI72" s="104"/>
      <c r="BJ72" s="104"/>
      <c r="BL72" s="104"/>
      <c r="BM72" s="104"/>
    </row>
    <row r="73" spans="2:65" s="253" customFormat="1" x14ac:dyDescent="0.15">
      <c r="B73" s="366"/>
      <c r="C73" s="179">
        <v>41030</v>
      </c>
      <c r="D73" s="180">
        <v>409.83372402258198</v>
      </c>
      <c r="E73" s="193">
        <f t="shared" si="42"/>
        <v>404.85650952350829</v>
      </c>
      <c r="F73" s="194">
        <f t="shared" si="52"/>
        <v>1.7580461193938189E-3</v>
      </c>
      <c r="H73" s="144"/>
      <c r="I73" s="149">
        <f t="shared" si="43"/>
        <v>24.470816446897715</v>
      </c>
      <c r="L73" s="122"/>
      <c r="M73" s="132">
        <f t="shared" si="44"/>
        <v>34.987117046038357</v>
      </c>
      <c r="O73" s="144"/>
      <c r="P73" s="149">
        <f t="shared" si="45"/>
        <v>7444436.7638697997</v>
      </c>
      <c r="Q73" s="104"/>
      <c r="R73" s="104"/>
      <c r="S73" s="122"/>
      <c r="T73" s="132">
        <f t="shared" si="51"/>
        <v>8805713.9006582331</v>
      </c>
      <c r="AB73" s="202">
        <v>84.15</v>
      </c>
      <c r="AC73" s="149">
        <f t="shared" ref="AC73:AC80" si="53">+AB73</f>
        <v>84.15</v>
      </c>
      <c r="AD73" s="104"/>
      <c r="AE73" s="219">
        <v>29881618.23</v>
      </c>
      <c r="AF73" s="132"/>
      <c r="AH73" s="239">
        <f t="shared" si="46"/>
        <v>53.777040768324142</v>
      </c>
      <c r="AI73" s="149">
        <f t="shared" si="47"/>
        <v>157.83829140385546</v>
      </c>
      <c r="AK73" s="122"/>
      <c r="AL73" s="258">
        <f>AL72</f>
        <v>90.21</v>
      </c>
      <c r="AM73" s="132">
        <f t="shared" si="48"/>
        <v>136.11702597161894</v>
      </c>
      <c r="AO73" s="104"/>
      <c r="AP73" s="104"/>
      <c r="AR73" s="225">
        <v>33.61</v>
      </c>
      <c r="AS73" s="132"/>
      <c r="AU73" s="104"/>
      <c r="AV73" s="104"/>
      <c r="AX73" s="225"/>
      <c r="AY73" s="132">
        <f t="shared" si="49"/>
        <v>676.36329833362686</v>
      </c>
      <c r="BA73" s="211"/>
      <c r="BB73" s="149">
        <f t="shared" si="50"/>
        <v>802.37265291118183</v>
      </c>
      <c r="BD73" s="104"/>
      <c r="BE73" s="104"/>
      <c r="BF73" s="104"/>
      <c r="BH73" s="104"/>
      <c r="BI73" s="104"/>
      <c r="BJ73" s="104"/>
      <c r="BL73" s="104"/>
      <c r="BM73" s="104"/>
    </row>
    <row r="74" spans="2:65" s="253" customFormat="1" x14ac:dyDescent="0.15">
      <c r="B74" s="366"/>
      <c r="C74" s="179">
        <v>41061</v>
      </c>
      <c r="D74" s="180">
        <v>403.88746173838206</v>
      </c>
      <c r="E74" s="193">
        <f t="shared" si="42"/>
        <v>405.61870629780543</v>
      </c>
      <c r="F74" s="194">
        <f t="shared" si="52"/>
        <v>1.8826343565383141E-3</v>
      </c>
      <c r="H74" s="144"/>
      <c r="I74" s="149">
        <f t="shared" si="43"/>
        <v>24.470816446897715</v>
      </c>
      <c r="L74" s="122"/>
      <c r="M74" s="132">
        <f t="shared" si="44"/>
        <v>34.987117046038357</v>
      </c>
      <c r="O74" s="144"/>
      <c r="P74" s="149">
        <f t="shared" si="45"/>
        <v>7444436.7638697997</v>
      </c>
      <c r="Q74" s="104"/>
      <c r="R74" s="104"/>
      <c r="S74" s="122"/>
      <c r="T74" s="132">
        <f t="shared" si="51"/>
        <v>8805713.9006582331</v>
      </c>
      <c r="AB74" s="203">
        <v>84.15</v>
      </c>
      <c r="AC74" s="149">
        <f t="shared" si="53"/>
        <v>84.15</v>
      </c>
      <c r="AD74" s="104"/>
      <c r="AE74" s="220">
        <v>29881618.23</v>
      </c>
      <c r="AF74" s="132"/>
      <c r="AH74" s="239">
        <f t="shared" si="46"/>
        <v>53.871583286159378</v>
      </c>
      <c r="AI74" s="149">
        <f t="shared" si="47"/>
        <v>158.11577839954975</v>
      </c>
      <c r="AK74" s="122"/>
      <c r="AL74" s="258">
        <f>AL72</f>
        <v>90.21</v>
      </c>
      <c r="AM74" s="132">
        <f t="shared" si="48"/>
        <v>136.11702597161894</v>
      </c>
      <c r="AO74" s="104"/>
      <c r="AP74" s="104"/>
      <c r="AR74" s="225">
        <v>33.61</v>
      </c>
      <c r="AS74" s="132"/>
      <c r="AU74" s="104"/>
      <c r="AV74" s="104"/>
      <c r="AX74" s="225"/>
      <c r="AY74" s="132">
        <f t="shared" si="49"/>
        <v>676.36329833362686</v>
      </c>
      <c r="BA74" s="211"/>
      <c r="BB74" s="149">
        <f t="shared" si="50"/>
        <v>802.37265291118183</v>
      </c>
      <c r="BD74" s="104"/>
      <c r="BE74" s="104"/>
      <c r="BF74" s="104"/>
      <c r="BH74" s="104"/>
      <c r="BI74" s="104"/>
      <c r="BJ74" s="104"/>
      <c r="BL74" s="104"/>
      <c r="BM74" s="104"/>
    </row>
    <row r="75" spans="2:65" s="253" customFormat="1" x14ac:dyDescent="0.15">
      <c r="B75" s="366"/>
      <c r="C75" s="179">
        <v>41091</v>
      </c>
      <c r="D75" s="180">
        <v>404.02555360788057</v>
      </c>
      <c r="E75" s="193">
        <f t="shared" si="42"/>
        <v>406.16515626551239</v>
      </c>
      <c r="F75" s="194">
        <f t="shared" si="52"/>
        <v>1.3472011009910345E-3</v>
      </c>
      <c r="H75" s="144"/>
      <c r="I75" s="149">
        <f t="shared" si="43"/>
        <v>24.470816446897715</v>
      </c>
      <c r="L75" s="122"/>
      <c r="M75" s="132">
        <f t="shared" si="44"/>
        <v>34.987117046038357</v>
      </c>
      <c r="O75" s="144"/>
      <c r="P75" s="149">
        <f t="shared" si="45"/>
        <v>7444436.7638697997</v>
      </c>
      <c r="Q75" s="104"/>
      <c r="R75" s="104"/>
      <c r="S75" s="122"/>
      <c r="T75" s="132">
        <f t="shared" si="51"/>
        <v>8805713.9006582331</v>
      </c>
      <c r="AB75" s="203">
        <v>84.15</v>
      </c>
      <c r="AC75" s="149">
        <f t="shared" si="53"/>
        <v>84.15</v>
      </c>
      <c r="AD75" s="104"/>
      <c r="AE75" s="220">
        <v>29881618.23</v>
      </c>
      <c r="AF75" s="132"/>
      <c r="AH75" s="239">
        <f t="shared" si="46"/>
        <v>53.97300377969502</v>
      </c>
      <c r="AI75" s="149">
        <f t="shared" si="47"/>
        <v>158.41345259627556</v>
      </c>
      <c r="AK75" s="122"/>
      <c r="AL75" s="258">
        <f>AL72</f>
        <v>90.21</v>
      </c>
      <c r="AM75" s="132">
        <f t="shared" si="48"/>
        <v>136.11702597161894</v>
      </c>
      <c r="AO75" s="104"/>
      <c r="AP75" s="104"/>
      <c r="AR75" s="225">
        <v>33.61</v>
      </c>
      <c r="AS75" s="132"/>
      <c r="AU75" s="104"/>
      <c r="AV75" s="104"/>
      <c r="AX75" s="225"/>
      <c r="AY75" s="132">
        <f t="shared" si="49"/>
        <v>676.36329833362686</v>
      </c>
      <c r="BA75" s="211"/>
      <c r="BB75" s="149">
        <f t="shared" si="50"/>
        <v>802.37265291118183</v>
      </c>
      <c r="BD75" s="104"/>
      <c r="BE75" s="104"/>
      <c r="BF75" s="104"/>
      <c r="BH75" s="104"/>
      <c r="BI75" s="104"/>
      <c r="BJ75" s="104"/>
      <c r="BL75" s="104"/>
      <c r="BM75" s="104"/>
    </row>
    <row r="76" spans="2:65" s="253" customFormat="1" x14ac:dyDescent="0.15">
      <c r="B76" s="366"/>
      <c r="C76" s="179">
        <v>41122</v>
      </c>
      <c r="D76" s="180">
        <v>408.22121041868462</v>
      </c>
      <c r="E76" s="193">
        <f t="shared" si="42"/>
        <v>406.79728573283569</v>
      </c>
      <c r="F76" s="194">
        <f t="shared" si="52"/>
        <v>1.5563360312228975E-3</v>
      </c>
      <c r="H76" s="144"/>
      <c r="I76" s="149">
        <f t="shared" si="43"/>
        <v>24.470816446897715</v>
      </c>
      <c r="L76" s="122"/>
      <c r="M76" s="132">
        <f t="shared" si="44"/>
        <v>34.987117046038357</v>
      </c>
      <c r="O76" s="144"/>
      <c r="P76" s="149">
        <f t="shared" si="45"/>
        <v>7444436.7638697997</v>
      </c>
      <c r="Q76" s="104"/>
      <c r="R76" s="104"/>
      <c r="S76" s="122"/>
      <c r="T76" s="132">
        <f t="shared" si="51"/>
        <v>8805713.9006582331</v>
      </c>
      <c r="AB76" s="203">
        <v>84.15</v>
      </c>
      <c r="AC76" s="149">
        <f t="shared" si="53"/>
        <v>84.15</v>
      </c>
      <c r="AD76" s="104"/>
      <c r="AE76" s="220">
        <v>29881618.23</v>
      </c>
      <c r="AF76" s="132"/>
      <c r="AH76" s="239">
        <f t="shared" si="46"/>
        <v>54.045716269810811</v>
      </c>
      <c r="AI76" s="149">
        <f t="shared" si="47"/>
        <v>158.62686737402504</v>
      </c>
      <c r="AK76" s="122"/>
      <c r="AL76" s="258">
        <f>AL72</f>
        <v>90.21</v>
      </c>
      <c r="AM76" s="132">
        <f t="shared" si="48"/>
        <v>136.11702597161894</v>
      </c>
      <c r="AO76" s="104"/>
      <c r="AP76" s="104"/>
      <c r="AR76" s="225">
        <v>33.61</v>
      </c>
      <c r="AS76" s="132"/>
      <c r="AU76" s="104"/>
      <c r="AV76" s="104"/>
      <c r="AX76" s="225"/>
      <c r="AY76" s="132">
        <f t="shared" si="49"/>
        <v>676.36329833362686</v>
      </c>
      <c r="BA76" s="211"/>
      <c r="BB76" s="149">
        <f t="shared" si="50"/>
        <v>802.37265291118183</v>
      </c>
      <c r="BD76" s="104"/>
      <c r="BE76" s="104"/>
      <c r="BF76" s="104"/>
      <c r="BH76" s="104"/>
      <c r="BI76" s="104"/>
      <c r="BJ76" s="104"/>
      <c r="BL76" s="104"/>
      <c r="BM76" s="104"/>
    </row>
    <row r="77" spans="2:65" s="253" customFormat="1" x14ac:dyDescent="0.15">
      <c r="B77" s="366"/>
      <c r="C77" s="179">
        <v>41153</v>
      </c>
      <c r="D77" s="180">
        <v>406.54948042916612</v>
      </c>
      <c r="E77" s="193">
        <f t="shared" si="42"/>
        <v>407.72354563691988</v>
      </c>
      <c r="F77" s="194">
        <f t="shared" si="52"/>
        <v>2.2769569428555928E-3</v>
      </c>
      <c r="H77" s="144"/>
      <c r="I77" s="149">
        <f t="shared" si="43"/>
        <v>24.470816446897715</v>
      </c>
      <c r="L77" s="122"/>
      <c r="M77" s="132">
        <f t="shared" si="44"/>
        <v>34.987117046038357</v>
      </c>
      <c r="O77" s="144"/>
      <c r="P77" s="149">
        <f t="shared" si="45"/>
        <v>7444436.7638697997</v>
      </c>
      <c r="Q77" s="104"/>
      <c r="R77" s="104"/>
      <c r="S77" s="122"/>
      <c r="T77" s="132">
        <f t="shared" si="51"/>
        <v>8805713.9006582331</v>
      </c>
      <c r="AB77" s="203">
        <v>84.15</v>
      </c>
      <c r="AC77" s="149">
        <f t="shared" si="53"/>
        <v>84.15</v>
      </c>
      <c r="AD77" s="104"/>
      <c r="AE77" s="220">
        <v>29881618.23</v>
      </c>
      <c r="AF77" s="132"/>
      <c r="AH77" s="239">
        <f t="shared" si="46"/>
        <v>54.12982956537477</v>
      </c>
      <c r="AI77" s="149">
        <f t="shared" si="47"/>
        <v>158.87374408323927</v>
      </c>
      <c r="AK77" s="122"/>
      <c r="AL77" s="258">
        <f>AL72</f>
        <v>90.21</v>
      </c>
      <c r="AM77" s="132">
        <f t="shared" si="48"/>
        <v>136.11702597161894</v>
      </c>
      <c r="AO77" s="104"/>
      <c r="AP77" s="104"/>
      <c r="AR77" s="225">
        <v>33.61</v>
      </c>
      <c r="AS77" s="132"/>
      <c r="AU77" s="104"/>
      <c r="AV77" s="104"/>
      <c r="AX77" s="225"/>
      <c r="AY77" s="132">
        <f t="shared" si="49"/>
        <v>676.36329833362686</v>
      </c>
      <c r="BA77" s="211"/>
      <c r="BB77" s="149">
        <f t="shared" si="50"/>
        <v>802.37265291118183</v>
      </c>
      <c r="BD77" s="104"/>
      <c r="BE77" s="104"/>
      <c r="BF77" s="104"/>
      <c r="BH77" s="104"/>
      <c r="BI77" s="104"/>
      <c r="BJ77" s="104"/>
      <c r="BL77" s="104"/>
      <c r="BM77" s="104"/>
    </row>
    <row r="78" spans="2:65" s="253" customFormat="1" x14ac:dyDescent="0.15">
      <c r="B78" s="366"/>
      <c r="C78" s="179">
        <v>41183</v>
      </c>
      <c r="D78" s="180">
        <v>406.28139030148543</v>
      </c>
      <c r="E78" s="193">
        <f t="shared" si="42"/>
        <v>407.51853545726982</v>
      </c>
      <c r="F78" s="194">
        <f t="shared" si="52"/>
        <v>-5.0281663113128764E-4</v>
      </c>
      <c r="H78" s="144"/>
      <c r="I78" s="149">
        <f t="shared" si="43"/>
        <v>24.470816446897715</v>
      </c>
      <c r="L78" s="122"/>
      <c r="M78" s="132">
        <f t="shared" si="44"/>
        <v>34.987117046038357</v>
      </c>
      <c r="O78" s="144"/>
      <c r="P78" s="149">
        <f t="shared" si="45"/>
        <v>7444436.7638697997</v>
      </c>
      <c r="Q78" s="104"/>
      <c r="R78" s="104"/>
      <c r="S78" s="122"/>
      <c r="T78" s="132">
        <f t="shared" si="51"/>
        <v>8805713.9006582331</v>
      </c>
      <c r="AB78" s="203">
        <v>84.15</v>
      </c>
      <c r="AC78" s="149">
        <f t="shared" si="53"/>
        <v>84.15</v>
      </c>
      <c r="AD78" s="104"/>
      <c r="AE78" s="220">
        <v>29881618.23</v>
      </c>
      <c r="AF78" s="132"/>
      <c r="AH78" s="239">
        <f t="shared" si="46"/>
        <v>54.253080856619242</v>
      </c>
      <c r="AI78" s="149">
        <f t="shared" si="47"/>
        <v>159.23549275786706</v>
      </c>
      <c r="AK78" s="122"/>
      <c r="AL78" s="258">
        <f>AL72</f>
        <v>90.21</v>
      </c>
      <c r="AM78" s="132">
        <f t="shared" si="48"/>
        <v>136.11702597161894</v>
      </c>
      <c r="AO78" s="104"/>
      <c r="AP78" s="104"/>
      <c r="AR78" s="225">
        <v>33.61</v>
      </c>
      <c r="AS78" s="132"/>
      <c r="AU78" s="104"/>
      <c r="AV78" s="104"/>
      <c r="AX78" s="225"/>
      <c r="AY78" s="132">
        <f t="shared" si="49"/>
        <v>676.36329833362686</v>
      </c>
      <c r="BA78" s="211"/>
      <c r="BB78" s="149">
        <f t="shared" si="50"/>
        <v>802.37265291118183</v>
      </c>
      <c r="BD78" s="104"/>
      <c r="BE78" s="104"/>
      <c r="BF78" s="104"/>
      <c r="BH78" s="104"/>
      <c r="BI78" s="104"/>
      <c r="BJ78" s="104"/>
      <c r="BL78" s="104"/>
      <c r="BM78" s="104"/>
    </row>
    <row r="79" spans="2:65" s="253" customFormat="1" x14ac:dyDescent="0.15">
      <c r="B79" s="366"/>
      <c r="C79" s="179">
        <v>41214</v>
      </c>
      <c r="D79" s="180">
        <v>406.64045461482709</v>
      </c>
      <c r="E79" s="193">
        <f t="shared" si="42"/>
        <v>407.54874268802365</v>
      </c>
      <c r="F79" s="194">
        <f t="shared" si="52"/>
        <v>7.4124802004247475E-5</v>
      </c>
      <c r="H79" s="144"/>
      <c r="I79" s="149">
        <f t="shared" si="43"/>
        <v>24.470816446897715</v>
      </c>
      <c r="L79" s="122"/>
      <c r="M79" s="132">
        <f t="shared" si="44"/>
        <v>34.987117046038357</v>
      </c>
      <c r="O79" s="144"/>
      <c r="P79" s="149">
        <f t="shared" si="45"/>
        <v>7444436.7638697997</v>
      </c>
      <c r="Q79" s="104"/>
      <c r="R79" s="104"/>
      <c r="S79" s="122"/>
      <c r="T79" s="132">
        <f t="shared" si="51"/>
        <v>8805713.9006582331</v>
      </c>
      <c r="AB79" s="203">
        <v>84.15</v>
      </c>
      <c r="AC79" s="149">
        <f t="shared" si="53"/>
        <v>84.15</v>
      </c>
      <c r="AD79" s="104"/>
      <c r="AE79" s="220">
        <v>29881618.23</v>
      </c>
      <c r="AF79" s="132"/>
      <c r="AH79" s="239">
        <f t="shared" si="46"/>
        <v>54.225801505274426</v>
      </c>
      <c r="AI79" s="149">
        <f t="shared" si="47"/>
        <v>159.15542650384202</v>
      </c>
      <c r="AK79" s="122"/>
      <c r="AL79" s="258">
        <f>AL72</f>
        <v>90.21</v>
      </c>
      <c r="AM79" s="132">
        <f t="shared" si="48"/>
        <v>136.11702597161894</v>
      </c>
      <c r="AO79" s="104"/>
      <c r="AP79" s="104"/>
      <c r="AR79" s="225">
        <v>33.61</v>
      </c>
      <c r="AS79" s="132"/>
      <c r="AU79" s="104"/>
      <c r="AV79" s="104"/>
      <c r="AX79" s="225"/>
      <c r="AY79" s="132">
        <f t="shared" si="49"/>
        <v>676.36329833362686</v>
      </c>
      <c r="BA79" s="211"/>
      <c r="BB79" s="149">
        <f t="shared" si="50"/>
        <v>802.37265291118183</v>
      </c>
      <c r="BD79" s="104"/>
      <c r="BE79" s="104"/>
      <c r="BF79" s="104"/>
      <c r="BH79" s="104"/>
      <c r="BI79" s="104"/>
      <c r="BJ79" s="104"/>
      <c r="BL79" s="104"/>
      <c r="BM79" s="104"/>
    </row>
    <row r="80" spans="2:65" s="253" customFormat="1" ht="11.25" thickBot="1" x14ac:dyDescent="0.2">
      <c r="B80" s="367"/>
      <c r="C80" s="183">
        <v>41244</v>
      </c>
      <c r="D80" s="190">
        <v>398.04627263559752</v>
      </c>
      <c r="E80" s="191">
        <f t="shared" ref="E80:E85" si="54">AVERAGE(D68:D79)</f>
        <v>406.88809530305451</v>
      </c>
      <c r="F80" s="192">
        <f t="shared" si="52"/>
        <v>-1.6210266791937089E-3</v>
      </c>
      <c r="H80" s="154"/>
      <c r="I80" s="147">
        <f t="shared" si="43"/>
        <v>24.470816446897715</v>
      </c>
      <c r="L80" s="138"/>
      <c r="M80" s="136">
        <f t="shared" si="44"/>
        <v>34.987117046038357</v>
      </c>
      <c r="O80" s="154"/>
      <c r="P80" s="147">
        <f t="shared" si="45"/>
        <v>7444436.7638697997</v>
      </c>
      <c r="Q80" s="104"/>
      <c r="R80" s="104"/>
      <c r="S80" s="138"/>
      <c r="T80" s="136">
        <f t="shared" si="51"/>
        <v>8805713.9006582331</v>
      </c>
      <c r="AB80" s="204">
        <v>84.15</v>
      </c>
      <c r="AC80" s="149">
        <f t="shared" si="53"/>
        <v>84.15</v>
      </c>
      <c r="AD80" s="104"/>
      <c r="AE80" s="221">
        <v>29881618.23</v>
      </c>
      <c r="AF80" s="136"/>
      <c r="AH80" s="246">
        <f t="shared" si="46"/>
        <v>54.229820982074521</v>
      </c>
      <c r="AI80" s="247">
        <f t="shared" si="47"/>
        <v>159.16722386831952</v>
      </c>
      <c r="AK80" s="138"/>
      <c r="AL80" s="275">
        <f>AL72</f>
        <v>90.21</v>
      </c>
      <c r="AM80" s="136">
        <f t="shared" si="48"/>
        <v>136.11702597161894</v>
      </c>
      <c r="AO80" s="104"/>
      <c r="AP80" s="104"/>
      <c r="AR80" s="282">
        <v>33.61</v>
      </c>
      <c r="AS80" s="136"/>
      <c r="AU80" s="104"/>
      <c r="AV80" s="104"/>
      <c r="AX80" s="282"/>
      <c r="AY80" s="136">
        <f t="shared" si="49"/>
        <v>676.36329833362686</v>
      </c>
      <c r="BA80" s="284"/>
      <c r="BB80" s="147">
        <f t="shared" si="50"/>
        <v>802.37265291118183</v>
      </c>
      <c r="BD80" s="104"/>
      <c r="BE80" s="104"/>
      <c r="BF80" s="104"/>
      <c r="BH80" s="104"/>
      <c r="BI80" s="104"/>
      <c r="BJ80" s="104"/>
      <c r="BL80" s="104"/>
      <c r="BM80" s="104"/>
    </row>
    <row r="81" spans="2:65" s="253" customFormat="1" ht="11.25" thickBot="1" x14ac:dyDescent="0.2">
      <c r="B81" s="365">
        <v>2013</v>
      </c>
      <c r="C81" s="175">
        <v>41275</v>
      </c>
      <c r="D81" s="188">
        <v>402.426794335512</v>
      </c>
      <c r="E81" s="188">
        <f t="shared" si="54"/>
        <v>405.66489336087648</v>
      </c>
      <c r="F81" s="195">
        <f>(E81-E80)/E80</f>
        <v>-3.006236742480713E-3</v>
      </c>
      <c r="H81" s="142"/>
      <c r="I81" s="153">
        <f>(1+((E80-E14)/E14))*H20*0.98</f>
        <v>24.760673430459811</v>
      </c>
      <c r="L81" s="120"/>
      <c r="M81" s="137">
        <f>(1+(($E$80-$E$14)/$E$14))*L$20*0.98</f>
        <v>35.401539680138264</v>
      </c>
      <c r="O81" s="142"/>
      <c r="P81" s="153">
        <f>(1+(($E$80-$E$14)/$E$14))*O$20*0.98</f>
        <v>7532616.1668487154</v>
      </c>
      <c r="Q81" s="104"/>
      <c r="R81" s="104"/>
      <c r="S81" s="120"/>
      <c r="T81" s="137">
        <f>(1+(($E$80-$E$14)/$E$14))*S$20*0.98</f>
        <v>8910017.6403758824</v>
      </c>
      <c r="AB81" s="200">
        <f>70.26</f>
        <v>70.260000000000005</v>
      </c>
      <c r="AC81" s="200">
        <f>70.26*0.98*(1+(($E$80-$E$57)/$E$57))</f>
        <v>70.118081080603531</v>
      </c>
      <c r="AD81" s="104"/>
      <c r="AE81" s="217">
        <f>26934704.82</f>
        <v>26934704.82</v>
      </c>
      <c r="AF81" s="217">
        <f>26934704.82*0.98*(1+(($E$80-$E$57)/$E$57))</f>
        <v>26880299.123980682</v>
      </c>
      <c r="AH81" s="248">
        <f>AH80*(1+F80)*0.98</f>
        <v>53.059074735545586</v>
      </c>
      <c r="AI81" s="153">
        <f>AI80*(1+F80)*0.98</f>
        <v>155.73102536093626</v>
      </c>
      <c r="AK81" s="120"/>
      <c r="AL81" s="277">
        <f>60.14*0.98*(1+(($E$80-$E$57)/$E$57))</f>
        <v>60.018522575967779</v>
      </c>
      <c r="AM81" s="278">
        <f>AL$20*0.98*(1+(($E$80-$E$14)/$E$14))</f>
        <v>137.72933304952926</v>
      </c>
      <c r="AO81" s="104"/>
      <c r="AP81" s="104"/>
      <c r="AR81" s="223">
        <f>15.33*0.98*(1+(($E$80-$E$57)/$E$57))</f>
        <v>15.299034770362256</v>
      </c>
      <c r="AS81" s="281"/>
      <c r="AU81" s="104"/>
      <c r="AV81" s="104"/>
      <c r="AX81" s="223"/>
      <c r="AY81" s="281">
        <f>(AY69)*0.98*(1+(($E$80-$E$57)/$E$57))</f>
        <v>674.9971049317063</v>
      </c>
      <c r="BA81" s="210"/>
      <c r="BB81" s="283">
        <f>(BB69)*0.98*(1+(($E$80-$E$57)/$E$57))</f>
        <v>800.75193187710227</v>
      </c>
      <c r="BD81" s="104"/>
      <c r="BE81" s="104"/>
      <c r="BF81" s="104"/>
      <c r="BH81" s="104"/>
      <c r="BI81" s="104"/>
      <c r="BJ81" s="104"/>
      <c r="BL81" s="104"/>
      <c r="BM81" s="104"/>
    </row>
    <row r="82" spans="2:65" s="253" customFormat="1" x14ac:dyDescent="0.15">
      <c r="B82" s="366"/>
      <c r="C82" s="179">
        <v>41306</v>
      </c>
      <c r="D82" s="180">
        <v>406.35350124194957</v>
      </c>
      <c r="E82" s="193">
        <f t="shared" si="54"/>
        <v>405.13975570040583</v>
      </c>
      <c r="F82" s="194">
        <f t="shared" si="52"/>
        <v>-1.2945109844728156E-3</v>
      </c>
      <c r="H82" s="144"/>
      <c r="I82" s="149">
        <f>I81</f>
        <v>24.760673430459811</v>
      </c>
      <c r="L82" s="122"/>
      <c r="M82" s="132">
        <f>M81</f>
        <v>35.401539680138264</v>
      </c>
      <c r="O82" s="144"/>
      <c r="P82" s="149">
        <f>P81</f>
        <v>7532616.1668487154</v>
      </c>
      <c r="Q82" s="104"/>
      <c r="R82" s="104"/>
      <c r="S82" s="122"/>
      <c r="T82" s="132">
        <f>T81</f>
        <v>8910017.6403758824</v>
      </c>
      <c r="AB82" s="203"/>
      <c r="AC82" s="203">
        <f>AC81</f>
        <v>70.118081080603531</v>
      </c>
      <c r="AD82" s="104"/>
      <c r="AE82" s="220"/>
      <c r="AF82" s="220">
        <f>AF81</f>
        <v>26880299.123980682</v>
      </c>
      <c r="AH82" s="239">
        <f t="shared" ref="AH82:AH92" si="55">AH81*(1+F81)</f>
        <v>52.899566595553559</v>
      </c>
      <c r="AI82" s="149">
        <f t="shared" ref="AI82:AI92" si="56">AI81*(1+F81)</f>
        <v>155.26286103055202</v>
      </c>
      <c r="AK82" s="122"/>
      <c r="AL82" s="258">
        <f>AL81</f>
        <v>60.018522575967779</v>
      </c>
      <c r="AM82" s="132">
        <f>AM81</f>
        <v>137.72933304952926</v>
      </c>
      <c r="AO82" s="104"/>
      <c r="AP82" s="104"/>
      <c r="AR82" s="225">
        <f>AR81</f>
        <v>15.299034770362256</v>
      </c>
      <c r="AS82" s="132"/>
      <c r="AU82" s="104"/>
      <c r="AV82" s="104"/>
      <c r="AX82" s="225"/>
      <c r="AY82" s="132">
        <f>AY81</f>
        <v>674.9971049317063</v>
      </c>
      <c r="BA82" s="211"/>
      <c r="BB82" s="149">
        <f>BB81</f>
        <v>800.75193187710227</v>
      </c>
      <c r="BD82" s="288">
        <f>42.49*0.98*(1+(($E$80-$E$57)/$E$57))</f>
        <v>42.404173998218674</v>
      </c>
      <c r="BE82" s="289">
        <f>9.2*0.98*(1+(($E$80-$E$57)/$E$57))</f>
        <v>9.1814168223961357</v>
      </c>
      <c r="BF82" s="281">
        <v>25.63</v>
      </c>
      <c r="BH82" s="104"/>
      <c r="BI82" s="104"/>
      <c r="BJ82" s="104"/>
      <c r="BL82" s="104"/>
      <c r="BM82" s="104"/>
    </row>
    <row r="83" spans="2:65" s="253" customFormat="1" x14ac:dyDescent="0.15">
      <c r="B83" s="366"/>
      <c r="C83" s="179">
        <v>41334</v>
      </c>
      <c r="D83" s="180">
        <v>406.85583781656413</v>
      </c>
      <c r="E83" s="193">
        <f t="shared" si="54"/>
        <v>405.26625569014141</v>
      </c>
      <c r="F83" s="194">
        <f t="shared" si="52"/>
        <v>3.1223790792114342E-4</v>
      </c>
      <c r="H83" s="144"/>
      <c r="I83" s="149">
        <f>I81</f>
        <v>24.760673430459811</v>
      </c>
      <c r="L83" s="122"/>
      <c r="M83" s="132">
        <f>M81</f>
        <v>35.401539680138264</v>
      </c>
      <c r="O83" s="144"/>
      <c r="P83" s="149">
        <f>P81</f>
        <v>7532616.1668487154</v>
      </c>
      <c r="Q83" s="104"/>
      <c r="R83" s="104"/>
      <c r="S83" s="122"/>
      <c r="T83" s="132">
        <f>T81</f>
        <v>8910017.6403758824</v>
      </c>
      <c r="AB83" s="203"/>
      <c r="AC83" s="203">
        <f>AC81</f>
        <v>70.118081080603531</v>
      </c>
      <c r="AD83" s="104"/>
      <c r="AE83" s="220"/>
      <c r="AF83" s="220">
        <f>AF81</f>
        <v>26880299.123980682</v>
      </c>
      <c r="AH83" s="239">
        <f t="shared" si="55"/>
        <v>52.83108752552176</v>
      </c>
      <c r="AI83" s="149">
        <f t="shared" si="56"/>
        <v>155.06187155146728</v>
      </c>
      <c r="AK83" s="122"/>
      <c r="AL83" s="258">
        <f>AL81</f>
        <v>60.018522575967779</v>
      </c>
      <c r="AM83" s="132">
        <f>AM81</f>
        <v>137.72933304952926</v>
      </c>
      <c r="AO83" s="104"/>
      <c r="AP83" s="104"/>
      <c r="AR83" s="225">
        <f>AR81</f>
        <v>15.299034770362256</v>
      </c>
      <c r="AS83" s="132"/>
      <c r="AU83" s="104"/>
      <c r="AV83" s="104"/>
      <c r="AX83" s="225"/>
      <c r="AY83" s="132">
        <f>AY81</f>
        <v>674.9971049317063</v>
      </c>
      <c r="BA83" s="211"/>
      <c r="BB83" s="149">
        <f>BB81</f>
        <v>800.75193187710227</v>
      </c>
      <c r="BD83" s="427">
        <f t="shared" ref="BD83:BD92" si="57">BD82</f>
        <v>42.404173998218674</v>
      </c>
      <c r="BE83" s="428">
        <f t="shared" ref="BE83:BE92" si="58">BE82</f>
        <v>9.1814168223961357</v>
      </c>
      <c r="BF83" s="428">
        <f>BF82</f>
        <v>25.63</v>
      </c>
      <c r="BH83" s="104"/>
      <c r="BI83" s="104"/>
      <c r="BJ83" s="104"/>
      <c r="BL83" s="104"/>
      <c r="BM83" s="104"/>
    </row>
    <row r="84" spans="2:65" s="253" customFormat="1" x14ac:dyDescent="0.15">
      <c r="B84" s="366"/>
      <c r="C84" s="179">
        <v>41365</v>
      </c>
      <c r="D84" s="180">
        <v>408.85820192939974</v>
      </c>
      <c r="E84" s="193">
        <f t="shared" si="54"/>
        <v>405.2834734302192</v>
      </c>
      <c r="F84" s="194">
        <f t="shared" si="52"/>
        <v>4.2485007907890574E-5</v>
      </c>
      <c r="H84" s="144"/>
      <c r="I84" s="149">
        <f>I81</f>
        <v>24.760673430459811</v>
      </c>
      <c r="L84" s="122"/>
      <c r="M84" s="132">
        <f>M81</f>
        <v>35.401539680138264</v>
      </c>
      <c r="O84" s="144"/>
      <c r="P84" s="149">
        <f>P81</f>
        <v>7532616.1668487154</v>
      </c>
      <c r="Q84" s="104"/>
      <c r="R84" s="104"/>
      <c r="S84" s="122"/>
      <c r="T84" s="132">
        <f>T81</f>
        <v>8910017.6403758824</v>
      </c>
      <c r="AB84" s="203"/>
      <c r="AC84" s="203">
        <f>AC81</f>
        <v>70.118081080603531</v>
      </c>
      <c r="AD84" s="104"/>
      <c r="AE84" s="220"/>
      <c r="AF84" s="220">
        <f>AF81</f>
        <v>26880299.123980682</v>
      </c>
      <c r="AH84" s="239">
        <f t="shared" si="55"/>
        <v>52.847583393763934</v>
      </c>
      <c r="AI84" s="149">
        <f t="shared" si="56"/>
        <v>155.11028774583886</v>
      </c>
      <c r="AK84" s="122"/>
      <c r="AL84" s="258">
        <f>AL81</f>
        <v>60.018522575967779</v>
      </c>
      <c r="AM84" s="132">
        <f>AM81</f>
        <v>137.72933304952926</v>
      </c>
      <c r="AO84" s="104"/>
      <c r="AP84" s="104"/>
      <c r="AR84" s="225">
        <f>AR81</f>
        <v>15.299034770362256</v>
      </c>
      <c r="AS84" s="132"/>
      <c r="AU84" s="104"/>
      <c r="AV84" s="104"/>
      <c r="AX84" s="225"/>
      <c r="AY84" s="132">
        <f>AY81</f>
        <v>674.9971049317063</v>
      </c>
      <c r="BA84" s="211"/>
      <c r="BB84" s="149">
        <f>BB81</f>
        <v>800.75193187710227</v>
      </c>
      <c r="BD84" s="225">
        <f t="shared" si="57"/>
        <v>42.404173998218674</v>
      </c>
      <c r="BE84" s="132">
        <f t="shared" si="58"/>
        <v>9.1814168223961357</v>
      </c>
      <c r="BF84" s="132">
        <f t="shared" ref="BF84:BF92" si="59">BF83</f>
        <v>25.63</v>
      </c>
      <c r="BH84" s="104"/>
      <c r="BI84" s="104"/>
      <c r="BJ84" s="104"/>
      <c r="BL84" s="104"/>
      <c r="BM84" s="104"/>
    </row>
    <row r="85" spans="2:65" s="253" customFormat="1" x14ac:dyDescent="0.15">
      <c r="B85" s="366"/>
      <c r="C85" s="179">
        <v>41395</v>
      </c>
      <c r="D85" s="180">
        <v>414.39161053633694</v>
      </c>
      <c r="E85" s="193">
        <f t="shared" si="54"/>
        <v>405.66499025766933</v>
      </c>
      <c r="F85" s="194">
        <f t="shared" si="52"/>
        <v>9.4135796908041507E-4</v>
      </c>
      <c r="H85" s="144"/>
      <c r="I85" s="149">
        <f>I81</f>
        <v>24.760673430459811</v>
      </c>
      <c r="L85" s="122"/>
      <c r="M85" s="132">
        <f>M81</f>
        <v>35.401539680138264</v>
      </c>
      <c r="O85" s="144"/>
      <c r="P85" s="149">
        <f>P81</f>
        <v>7532616.1668487154</v>
      </c>
      <c r="Q85" s="104"/>
      <c r="R85" s="104"/>
      <c r="S85" s="122"/>
      <c r="T85" s="132">
        <f>T81</f>
        <v>8910017.6403758824</v>
      </c>
      <c r="AB85" s="202"/>
      <c r="AC85" s="202">
        <f>AC81</f>
        <v>70.118081080603531</v>
      </c>
      <c r="AD85" s="104"/>
      <c r="AE85" s="219"/>
      <c r="AF85" s="219">
        <f>AF81</f>
        <v>26880299.123980682</v>
      </c>
      <c r="AH85" s="239">
        <f t="shared" si="55"/>
        <v>52.849828623762335</v>
      </c>
      <c r="AI85" s="149">
        <f t="shared" si="56"/>
        <v>155.11687760764033</v>
      </c>
      <c r="AK85" s="122"/>
      <c r="AL85" s="258">
        <f>AL81</f>
        <v>60.018522575967779</v>
      </c>
      <c r="AM85" s="132">
        <f>AM81</f>
        <v>137.72933304952926</v>
      </c>
      <c r="AO85" s="104"/>
      <c r="AP85" s="104"/>
      <c r="AR85" s="225">
        <f>AR81</f>
        <v>15.299034770362256</v>
      </c>
      <c r="AS85" s="132"/>
      <c r="AU85" s="104"/>
      <c r="AV85" s="104"/>
      <c r="AX85" s="225"/>
      <c r="AY85" s="132">
        <f>AY81</f>
        <v>674.9971049317063</v>
      </c>
      <c r="BA85" s="211"/>
      <c r="BB85" s="149">
        <f>BB81</f>
        <v>800.75193187710227</v>
      </c>
      <c r="BD85" s="225">
        <f t="shared" si="57"/>
        <v>42.404173998218674</v>
      </c>
      <c r="BE85" s="132">
        <f t="shared" si="58"/>
        <v>9.1814168223961357</v>
      </c>
      <c r="BF85" s="132">
        <f t="shared" si="59"/>
        <v>25.63</v>
      </c>
      <c r="BH85" s="104"/>
      <c r="BI85" s="104"/>
      <c r="BJ85" s="104"/>
      <c r="BL85" s="104"/>
      <c r="BM85" s="104"/>
    </row>
    <row r="86" spans="2:65" s="253" customFormat="1" x14ac:dyDescent="0.15">
      <c r="B86" s="366"/>
      <c r="C86" s="179">
        <v>41426</v>
      </c>
      <c r="D86" s="180">
        <v>417.81</v>
      </c>
      <c r="E86" s="193">
        <f t="shared" si="42"/>
        <v>406.04481413381546</v>
      </c>
      <c r="F86" s="194">
        <f t="shared" si="52"/>
        <v>9.3629937329538302E-4</v>
      </c>
      <c r="H86" s="144"/>
      <c r="I86" s="149">
        <f>I81</f>
        <v>24.760673430459811</v>
      </c>
      <c r="L86" s="122"/>
      <c r="M86" s="132">
        <f>M81</f>
        <v>35.401539680138264</v>
      </c>
      <c r="O86" s="144"/>
      <c r="P86" s="149">
        <f>P81</f>
        <v>7532616.1668487154</v>
      </c>
      <c r="Q86" s="104"/>
      <c r="R86" s="104"/>
      <c r="S86" s="122"/>
      <c r="T86" s="132">
        <f>T81</f>
        <v>8910017.6403758824</v>
      </c>
      <c r="AB86" s="203"/>
      <c r="AC86" s="203">
        <f>AC81</f>
        <v>70.118081080603531</v>
      </c>
      <c r="AD86" s="104"/>
      <c r="AE86" s="220"/>
      <c r="AF86" s="220">
        <f>AF81</f>
        <v>26880299.123980682</v>
      </c>
      <c r="AH86" s="239">
        <f t="shared" si="55"/>
        <v>52.899579231101853</v>
      </c>
      <c r="AI86" s="149">
        <f t="shared" si="56"/>
        <v>155.26289811651517</v>
      </c>
      <c r="AK86" s="122"/>
      <c r="AL86" s="258">
        <f>AL81</f>
        <v>60.018522575967779</v>
      </c>
      <c r="AM86" s="132">
        <f>AM81</f>
        <v>137.72933304952926</v>
      </c>
      <c r="AO86" s="104"/>
      <c r="AP86" s="104"/>
      <c r="AR86" s="225">
        <f>AR81</f>
        <v>15.299034770362256</v>
      </c>
      <c r="AS86" s="132"/>
      <c r="AU86" s="104"/>
      <c r="AV86" s="104"/>
      <c r="AX86" s="225"/>
      <c r="AY86" s="132">
        <f>AY81</f>
        <v>674.9971049317063</v>
      </c>
      <c r="BA86" s="211"/>
      <c r="BB86" s="149">
        <f>BB81</f>
        <v>800.75193187710227</v>
      </c>
      <c r="BD86" s="225">
        <f t="shared" si="57"/>
        <v>42.404173998218674</v>
      </c>
      <c r="BE86" s="132">
        <f t="shared" si="58"/>
        <v>9.1814168223961357</v>
      </c>
      <c r="BF86" s="132">
        <f t="shared" si="59"/>
        <v>25.63</v>
      </c>
      <c r="BH86" s="104"/>
      <c r="BI86" s="104"/>
      <c r="BJ86" s="104"/>
      <c r="BL86" s="104"/>
      <c r="BM86" s="104"/>
    </row>
    <row r="87" spans="2:65" s="253" customFormat="1" x14ac:dyDescent="0.15">
      <c r="B87" s="366"/>
      <c r="C87" s="179">
        <v>41456</v>
      </c>
      <c r="D87" s="180">
        <v>414.77</v>
      </c>
      <c r="E87" s="193">
        <f t="shared" si="42"/>
        <v>407.20502565561702</v>
      </c>
      <c r="F87" s="194">
        <f t="shared" si="52"/>
        <v>2.8573484537083621E-3</v>
      </c>
      <c r="H87" s="144"/>
      <c r="I87" s="149">
        <f>I81</f>
        <v>24.760673430459811</v>
      </c>
      <c r="L87" s="122"/>
      <c r="M87" s="132">
        <f>M81</f>
        <v>35.401539680138264</v>
      </c>
      <c r="O87" s="144"/>
      <c r="P87" s="149">
        <f>P81</f>
        <v>7532616.1668487154</v>
      </c>
      <c r="Q87" s="104"/>
      <c r="R87" s="104"/>
      <c r="S87" s="122"/>
      <c r="T87" s="132">
        <f>T81</f>
        <v>8910017.6403758824</v>
      </c>
      <c r="AB87" s="203"/>
      <c r="AC87" s="203">
        <f>AC81</f>
        <v>70.118081080603531</v>
      </c>
      <c r="AD87" s="104"/>
      <c r="AE87" s="220"/>
      <c r="AF87" s="220">
        <f>AF81</f>
        <v>26880299.123980682</v>
      </c>
      <c r="AH87" s="239">
        <f t="shared" si="55"/>
        <v>52.949109073983522</v>
      </c>
      <c r="AI87" s="149">
        <f t="shared" si="56"/>
        <v>155.40827067071768</v>
      </c>
      <c r="AK87" s="122"/>
      <c r="AL87" s="258">
        <f>AL81</f>
        <v>60.018522575967779</v>
      </c>
      <c r="AM87" s="132">
        <f>AM81</f>
        <v>137.72933304952926</v>
      </c>
      <c r="AO87" s="104"/>
      <c r="AP87" s="104"/>
      <c r="AR87" s="225">
        <f>AR81</f>
        <v>15.299034770362256</v>
      </c>
      <c r="AS87" s="132"/>
      <c r="AU87" s="104"/>
      <c r="AV87" s="104"/>
      <c r="AX87" s="225"/>
      <c r="AY87" s="132">
        <f>AY81</f>
        <v>674.9971049317063</v>
      </c>
      <c r="BA87" s="211"/>
      <c r="BB87" s="149">
        <f>BB81</f>
        <v>800.75193187710227</v>
      </c>
      <c r="BD87" s="225">
        <f t="shared" si="57"/>
        <v>42.404173998218674</v>
      </c>
      <c r="BE87" s="132">
        <f t="shared" si="58"/>
        <v>9.1814168223961357</v>
      </c>
      <c r="BF87" s="132">
        <f t="shared" si="59"/>
        <v>25.63</v>
      </c>
      <c r="BH87" s="104"/>
      <c r="BI87" s="104"/>
      <c r="BJ87" s="104"/>
      <c r="BL87" s="104"/>
      <c r="BM87" s="104"/>
    </row>
    <row r="88" spans="2:65" s="253" customFormat="1" x14ac:dyDescent="0.15">
      <c r="B88" s="366"/>
      <c r="C88" s="179">
        <v>41487</v>
      </c>
      <c r="D88" s="180">
        <v>418.5</v>
      </c>
      <c r="E88" s="193">
        <f t="shared" si="42"/>
        <v>408.10039618829359</v>
      </c>
      <c r="F88" s="194">
        <f t="shared" si="52"/>
        <v>2.1988199463770907E-3</v>
      </c>
      <c r="H88" s="144"/>
      <c r="I88" s="149">
        <f>I81</f>
        <v>24.760673430459811</v>
      </c>
      <c r="L88" s="122"/>
      <c r="M88" s="132">
        <f>M81</f>
        <v>35.401539680138264</v>
      </c>
      <c r="O88" s="144"/>
      <c r="P88" s="149">
        <f>P81</f>
        <v>7532616.1668487154</v>
      </c>
      <c r="Q88" s="104"/>
      <c r="R88" s="104"/>
      <c r="S88" s="122"/>
      <c r="T88" s="132">
        <f>T81</f>
        <v>8910017.6403758824</v>
      </c>
      <c r="AB88" s="203"/>
      <c r="AC88" s="203">
        <f>AC81</f>
        <v>70.118081080603531</v>
      </c>
      <c r="AD88" s="104"/>
      <c r="AE88" s="220"/>
      <c r="AF88" s="220">
        <f>AF81</f>
        <v>26880299.123980682</v>
      </c>
      <c r="AH88" s="239">
        <f t="shared" si="55"/>
        <v>53.100403128921307</v>
      </c>
      <c r="AI88" s="149">
        <f t="shared" si="56"/>
        <v>155.85232625261216</v>
      </c>
      <c r="AK88" s="122"/>
      <c r="AL88" s="258">
        <f>AL81</f>
        <v>60.018522575967779</v>
      </c>
      <c r="AM88" s="132">
        <f>AM81</f>
        <v>137.72933304952926</v>
      </c>
      <c r="AO88" s="104"/>
      <c r="AP88" s="104"/>
      <c r="AR88" s="225">
        <f>AR81</f>
        <v>15.299034770362256</v>
      </c>
      <c r="AS88" s="132"/>
      <c r="AU88" s="104"/>
      <c r="AV88" s="104"/>
      <c r="AX88" s="225"/>
      <c r="AY88" s="132">
        <f>AY81</f>
        <v>674.9971049317063</v>
      </c>
      <c r="BA88" s="211"/>
      <c r="BB88" s="149">
        <f>BB81</f>
        <v>800.75193187710227</v>
      </c>
      <c r="BD88" s="225">
        <f t="shared" si="57"/>
        <v>42.404173998218674</v>
      </c>
      <c r="BE88" s="132">
        <f t="shared" si="58"/>
        <v>9.1814168223961357</v>
      </c>
      <c r="BF88" s="132">
        <f t="shared" si="59"/>
        <v>25.63</v>
      </c>
      <c r="BH88" s="104"/>
      <c r="BI88" s="104"/>
      <c r="BJ88" s="104"/>
      <c r="BL88" s="104"/>
      <c r="BM88" s="104"/>
    </row>
    <row r="89" spans="2:65" s="253" customFormat="1" x14ac:dyDescent="0.15">
      <c r="B89" s="366"/>
      <c r="C89" s="179">
        <v>41518</v>
      </c>
      <c r="D89" s="180">
        <v>416.58</v>
      </c>
      <c r="E89" s="193">
        <f t="shared" ref="E89:E98" si="60">AVERAGE(D77:D88)</f>
        <v>408.95696198673659</v>
      </c>
      <c r="F89" s="194">
        <f t="shared" ref="F89:F97" si="61">(E89-E88)/E88</f>
        <v>2.0989094998275599E-3</v>
      </c>
      <c r="H89" s="144"/>
      <c r="I89" s="149">
        <f>I81</f>
        <v>24.760673430459811</v>
      </c>
      <c r="L89" s="122"/>
      <c r="M89" s="132">
        <f>M81</f>
        <v>35.401539680138264</v>
      </c>
      <c r="O89" s="144"/>
      <c r="P89" s="149">
        <f>P81</f>
        <v>7532616.1668487154</v>
      </c>
      <c r="Q89" s="104"/>
      <c r="R89" s="104"/>
      <c r="S89" s="122"/>
      <c r="T89" s="132">
        <f>T81</f>
        <v>8910017.6403758824</v>
      </c>
      <c r="AB89" s="203"/>
      <c r="AC89" s="203">
        <f>AC81</f>
        <v>70.118081080603531</v>
      </c>
      <c r="AD89" s="104"/>
      <c r="AE89" s="220"/>
      <c r="AF89" s="220">
        <f>AF81</f>
        <v>26880299.123980682</v>
      </c>
      <c r="AH89" s="239">
        <f t="shared" si="55"/>
        <v>53.217161354481846</v>
      </c>
      <c r="AI89" s="149">
        <f t="shared" si="56"/>
        <v>156.19501745626567</v>
      </c>
      <c r="AK89" s="122"/>
      <c r="AL89" s="258">
        <f>AL81</f>
        <v>60.018522575967779</v>
      </c>
      <c r="AM89" s="132">
        <f>AM81</f>
        <v>137.72933304952926</v>
      </c>
      <c r="AO89" s="104"/>
      <c r="AP89" s="104"/>
      <c r="AR89" s="225">
        <f>AR81</f>
        <v>15.299034770362256</v>
      </c>
      <c r="AS89" s="132"/>
      <c r="AU89" s="104"/>
      <c r="AV89" s="104"/>
      <c r="AX89" s="225"/>
      <c r="AY89" s="132">
        <f>AY81</f>
        <v>674.9971049317063</v>
      </c>
      <c r="BA89" s="211"/>
      <c r="BB89" s="149">
        <f>BB81</f>
        <v>800.75193187710227</v>
      </c>
      <c r="BD89" s="225">
        <f t="shared" si="57"/>
        <v>42.404173998218674</v>
      </c>
      <c r="BE89" s="132">
        <f t="shared" si="58"/>
        <v>9.1814168223961357</v>
      </c>
      <c r="BF89" s="132">
        <f t="shared" si="59"/>
        <v>25.63</v>
      </c>
      <c r="BH89" s="104"/>
      <c r="BI89" s="104"/>
      <c r="BJ89" s="104"/>
      <c r="BL89" s="104"/>
      <c r="BM89" s="104"/>
    </row>
    <row r="90" spans="2:65" s="253" customFormat="1" x14ac:dyDescent="0.15">
      <c r="B90" s="366"/>
      <c r="C90" s="179">
        <v>41548</v>
      </c>
      <c r="D90" s="180">
        <v>413.29699547925571</v>
      </c>
      <c r="E90" s="193">
        <f t="shared" si="60"/>
        <v>409.79283861763935</v>
      </c>
      <c r="F90" s="194">
        <f t="shared" si="61"/>
        <v>2.04392322077615E-3</v>
      </c>
      <c r="H90" s="144"/>
      <c r="I90" s="149">
        <f>I81</f>
        <v>24.760673430459811</v>
      </c>
      <c r="L90" s="122"/>
      <c r="M90" s="132">
        <f>M81</f>
        <v>35.401539680138264</v>
      </c>
      <c r="O90" s="144"/>
      <c r="P90" s="149">
        <f>P81</f>
        <v>7532616.1668487154</v>
      </c>
      <c r="Q90" s="104"/>
      <c r="R90" s="104"/>
      <c r="S90" s="122"/>
      <c r="T90" s="132">
        <f>T81</f>
        <v>8910017.6403758824</v>
      </c>
      <c r="AB90" s="203"/>
      <c r="AC90" s="203">
        <f>AC81</f>
        <v>70.118081080603531</v>
      </c>
      <c r="AD90" s="104"/>
      <c r="AE90" s="220"/>
      <c r="AF90" s="220">
        <f>AF81</f>
        <v>26880299.123980682</v>
      </c>
      <c r="AH90" s="239">
        <f t="shared" si="55"/>
        <v>53.328859360002625</v>
      </c>
      <c r="AI90" s="149">
        <f t="shared" si="56"/>
        <v>156.52285666223037</v>
      </c>
      <c r="AK90" s="122"/>
      <c r="AL90" s="258">
        <f>AL81</f>
        <v>60.018522575967779</v>
      </c>
      <c r="AM90" s="132">
        <f>AM81</f>
        <v>137.72933304952926</v>
      </c>
      <c r="AO90" s="104"/>
      <c r="AP90" s="104"/>
      <c r="AR90" s="225">
        <f>AR81</f>
        <v>15.299034770362256</v>
      </c>
      <c r="AS90" s="132"/>
      <c r="AU90" s="104"/>
      <c r="AV90" s="104"/>
      <c r="AX90" s="225"/>
      <c r="AY90" s="132">
        <f>AY81</f>
        <v>674.9971049317063</v>
      </c>
      <c r="BA90" s="211"/>
      <c r="BB90" s="149">
        <f>BB81</f>
        <v>800.75193187710227</v>
      </c>
      <c r="BD90" s="225">
        <f t="shared" si="57"/>
        <v>42.404173998218674</v>
      </c>
      <c r="BE90" s="132">
        <f t="shared" si="58"/>
        <v>9.1814168223961357</v>
      </c>
      <c r="BF90" s="132">
        <f t="shared" si="59"/>
        <v>25.63</v>
      </c>
      <c r="BH90" s="104"/>
      <c r="BI90" s="104"/>
      <c r="BJ90" s="104"/>
      <c r="BL90" s="104"/>
      <c r="BM90" s="104"/>
    </row>
    <row r="91" spans="2:65" s="253" customFormat="1" x14ac:dyDescent="0.15">
      <c r="B91" s="366"/>
      <c r="C91" s="179">
        <v>41579</v>
      </c>
      <c r="D91" s="180">
        <v>416.89164971170288</v>
      </c>
      <c r="E91" s="193">
        <f t="shared" si="60"/>
        <v>410.37747238245362</v>
      </c>
      <c r="F91" s="194">
        <f t="shared" si="61"/>
        <v>1.4266568610286725E-3</v>
      </c>
      <c r="H91" s="144"/>
      <c r="I91" s="149">
        <f>I81</f>
        <v>24.760673430459811</v>
      </c>
      <c r="L91" s="122"/>
      <c r="M91" s="132">
        <f>M81</f>
        <v>35.401539680138264</v>
      </c>
      <c r="O91" s="144"/>
      <c r="P91" s="149">
        <f>P81</f>
        <v>7532616.1668487154</v>
      </c>
      <c r="Q91" s="104"/>
      <c r="R91" s="104"/>
      <c r="S91" s="122"/>
      <c r="T91" s="132">
        <f>T81</f>
        <v>8910017.6403758824</v>
      </c>
      <c r="AB91" s="203"/>
      <c r="AC91" s="203">
        <f>AC81</f>
        <v>70.118081080603531</v>
      </c>
      <c r="AD91" s="104"/>
      <c r="AE91" s="220"/>
      <c r="AF91" s="220">
        <f>AF81</f>
        <v>26880299.123980682</v>
      </c>
      <c r="AH91" s="239">
        <f t="shared" si="55"/>
        <v>53.437859453986036</v>
      </c>
      <c r="AI91" s="149">
        <f t="shared" si="56"/>
        <v>156.84277736354451</v>
      </c>
      <c r="AK91" s="122"/>
      <c r="AL91" s="258">
        <f>AL81</f>
        <v>60.018522575967779</v>
      </c>
      <c r="AM91" s="132">
        <f>AM81</f>
        <v>137.72933304952926</v>
      </c>
      <c r="AO91" s="104"/>
      <c r="AP91" s="104"/>
      <c r="AR91" s="225">
        <f>AR81</f>
        <v>15.299034770362256</v>
      </c>
      <c r="AS91" s="132"/>
      <c r="AU91" s="104"/>
      <c r="AV91" s="104"/>
      <c r="AX91" s="225"/>
      <c r="AY91" s="132">
        <f>AY81</f>
        <v>674.9971049317063</v>
      </c>
      <c r="BA91" s="211"/>
      <c r="BB91" s="149">
        <f>BB81</f>
        <v>800.75193187710227</v>
      </c>
      <c r="BD91" s="225">
        <f t="shared" si="57"/>
        <v>42.404173998218674</v>
      </c>
      <c r="BE91" s="132">
        <f t="shared" si="58"/>
        <v>9.1814168223961357</v>
      </c>
      <c r="BF91" s="132">
        <f t="shared" si="59"/>
        <v>25.63</v>
      </c>
      <c r="BH91" s="104"/>
      <c r="BI91" s="104"/>
      <c r="BJ91" s="104"/>
      <c r="BL91" s="104"/>
      <c r="BM91" s="104"/>
    </row>
    <row r="92" spans="2:65" s="253" customFormat="1" ht="11.25" thickBot="1" x14ac:dyDescent="0.2">
      <c r="B92" s="366"/>
      <c r="C92" s="196">
        <v>41609</v>
      </c>
      <c r="D92" s="197">
        <v>416.62138153036528</v>
      </c>
      <c r="E92" s="193">
        <f t="shared" si="60"/>
        <v>411.23173864052654</v>
      </c>
      <c r="F92" s="194">
        <f t="shared" si="61"/>
        <v>2.0816597293059676E-3</v>
      </c>
      <c r="H92" s="151"/>
      <c r="I92" s="152">
        <f>I81</f>
        <v>24.760673430459811</v>
      </c>
      <c r="L92" s="138"/>
      <c r="M92" s="136">
        <f>M81</f>
        <v>35.401539680138264</v>
      </c>
      <c r="O92" s="154"/>
      <c r="P92" s="147">
        <f>P81</f>
        <v>7532616.1668487154</v>
      </c>
      <c r="Q92" s="104"/>
      <c r="R92" s="104"/>
      <c r="S92" s="138"/>
      <c r="T92" s="136">
        <f>T81</f>
        <v>8910017.6403758824</v>
      </c>
      <c r="AB92" s="204"/>
      <c r="AC92" s="204">
        <f>AC81</f>
        <v>70.118081080603531</v>
      </c>
      <c r="AD92" s="104"/>
      <c r="AE92" s="221"/>
      <c r="AF92" s="221">
        <f>AF81</f>
        <v>26880299.123980682</v>
      </c>
      <c r="AH92" s="238">
        <f t="shared" si="55"/>
        <v>53.514096942814746</v>
      </c>
      <c r="AI92" s="147">
        <f t="shared" si="56"/>
        <v>157.06653818797301</v>
      </c>
      <c r="AK92" s="138"/>
      <c r="AL92" s="275">
        <f>AL81</f>
        <v>60.018522575967779</v>
      </c>
      <c r="AM92" s="136">
        <f>AM81</f>
        <v>137.72933304952926</v>
      </c>
      <c r="AO92" s="104"/>
      <c r="AP92" s="104"/>
      <c r="AR92" s="282">
        <f>AR81</f>
        <v>15.299034770362256</v>
      </c>
      <c r="AS92" s="136"/>
      <c r="AU92" s="104"/>
      <c r="AV92" s="104"/>
      <c r="AX92" s="282"/>
      <c r="AY92" s="136">
        <f>AY81</f>
        <v>674.9971049317063</v>
      </c>
      <c r="BA92" s="284"/>
      <c r="BB92" s="147">
        <f>BB81</f>
        <v>800.75193187710227</v>
      </c>
      <c r="BD92" s="282">
        <f t="shared" si="57"/>
        <v>42.404173998218674</v>
      </c>
      <c r="BE92" s="136">
        <f t="shared" si="58"/>
        <v>9.1814168223961357</v>
      </c>
      <c r="BF92" s="136">
        <f t="shared" si="59"/>
        <v>25.63</v>
      </c>
      <c r="BH92" s="104"/>
      <c r="BI92" s="104"/>
      <c r="BJ92" s="104"/>
      <c r="BL92" s="104"/>
      <c r="BM92" s="104"/>
    </row>
    <row r="93" spans="2:65" s="253" customFormat="1" x14ac:dyDescent="0.15">
      <c r="B93" s="365">
        <v>2014</v>
      </c>
      <c r="C93" s="175">
        <v>41640</v>
      </c>
      <c r="D93" s="198">
        <v>427.93912482682953</v>
      </c>
      <c r="E93" s="199">
        <f>AVERAGE(D81:D92)</f>
        <v>412.77966438175719</v>
      </c>
      <c r="F93" s="195">
        <f t="shared" si="61"/>
        <v>3.7641203141271732E-3</v>
      </c>
      <c r="H93" s="142"/>
      <c r="I93" s="153">
        <f>(1+(($E$92-$E$14)/$E$14))*$H$20*0.98</f>
        <v>25.025000490944176</v>
      </c>
      <c r="L93" s="120"/>
      <c r="M93" s="137">
        <f>(1+(($E$92-$E$14)/$E$14))*L$20*0.98</f>
        <v>35.779460940904947</v>
      </c>
      <c r="O93" s="142"/>
      <c r="P93" s="153">
        <f>(1+(($E$92-$E$14)/$E$14))*O$20*0.98</f>
        <v>7613028.9348912342</v>
      </c>
      <c r="Q93" s="104"/>
      <c r="R93" s="104"/>
      <c r="S93" s="120"/>
      <c r="T93" s="137">
        <f>(1+(($E$92-$E$14)/$E$14))*S$20*0.98</f>
        <v>9005134.5514065474</v>
      </c>
      <c r="AB93" s="200">
        <f>56.38</f>
        <v>56.38</v>
      </c>
      <c r="AC93" s="200">
        <f>$AB$93*0.98*(1+(($E$92-$E$57)/$E$57))</f>
        <v>56.866773858574426</v>
      </c>
      <c r="AD93" s="104"/>
      <c r="AE93" s="217">
        <f>23987791.41</f>
        <v>23987791.41</v>
      </c>
      <c r="AF93" s="217">
        <f>$AE$93*0.98*(1+(($E$92-$E$57)/$E$57))</f>
        <v>24194897.29476985</v>
      </c>
      <c r="AH93" s="248">
        <f>AH92*(1+F92)*0.98</f>
        <v>52.55298518170337</v>
      </c>
      <c r="AI93" s="153">
        <f>AI92*(1+F92)*0.98</f>
        <v>154.24562732983361</v>
      </c>
      <c r="AK93" s="120"/>
      <c r="AL93" s="277">
        <f>30.07*0.98*(1+(($E$92-$E$57)/$E$57))</f>
        <v>30.329618480442228</v>
      </c>
      <c r="AM93" s="278">
        <f>AL$20*0.98*(1+(($E$92-$E$14)/$E$14))</f>
        <v>139.19963190265614</v>
      </c>
      <c r="AO93" s="104"/>
      <c r="AP93" s="104"/>
      <c r="AR93" s="223">
        <f>9.2</f>
        <v>9.1999999999999993</v>
      </c>
      <c r="AS93" s="224">
        <f>$AR$93*0.98*(1+(($E$92-$E$57)/$E$57))</f>
        <v>9.279430995013918</v>
      </c>
      <c r="AU93" s="104"/>
      <c r="AV93" s="104"/>
      <c r="AX93" s="223"/>
      <c r="AY93" s="281">
        <f>(AY81)*0.98*(1+(($E$92-$E$57)/$E$57))</f>
        <v>680.82489750521052</v>
      </c>
      <c r="BA93" s="210"/>
      <c r="BB93" s="283">
        <f>(BB81)*0.98*(1+(($E$92-$E$57)/$E$57))</f>
        <v>807.66546695409306</v>
      </c>
      <c r="BD93" s="217">
        <f>42.49*0.98*(1+(($E$92-$E$57)/$E$57))</f>
        <v>42.856850323711022</v>
      </c>
      <c r="BE93" s="281">
        <f>9.2*0.98*(1+(($E$92-$E$57)/$E$57))</f>
        <v>9.279430995013918</v>
      </c>
      <c r="BF93" s="281">
        <f>19.36*0.98*(1+(($E$92-$E$57)/$E$57))</f>
        <v>19.52715044168146</v>
      </c>
      <c r="BH93" s="104"/>
      <c r="BI93" s="104"/>
      <c r="BJ93" s="104"/>
      <c r="BL93" s="104"/>
      <c r="BM93" s="104"/>
    </row>
    <row r="94" spans="2:65" s="253" customFormat="1" x14ac:dyDescent="0.15">
      <c r="B94" s="366"/>
      <c r="C94" s="179">
        <v>41671</v>
      </c>
      <c r="D94" s="197">
        <v>433.4175187933659</v>
      </c>
      <c r="E94" s="193">
        <f t="shared" si="60"/>
        <v>414.90569192270027</v>
      </c>
      <c r="F94" s="194">
        <f t="shared" si="61"/>
        <v>5.1505142437851268E-3</v>
      </c>
      <c r="H94" s="144"/>
      <c r="I94" s="149">
        <f>I93</f>
        <v>25.025000490944176</v>
      </c>
      <c r="L94" s="122"/>
      <c r="M94" s="132">
        <f>M93</f>
        <v>35.779460940904947</v>
      </c>
      <c r="O94" s="144"/>
      <c r="P94" s="149">
        <f>P93</f>
        <v>7613028.9348912342</v>
      </c>
      <c r="Q94" s="104"/>
      <c r="R94" s="104"/>
      <c r="S94" s="122"/>
      <c r="T94" s="132">
        <f>T93</f>
        <v>9005134.5514065474</v>
      </c>
      <c r="AB94" s="203"/>
      <c r="AC94" s="203">
        <f>AC93</f>
        <v>56.866773858574426</v>
      </c>
      <c r="AD94" s="104"/>
      <c r="AE94" s="220"/>
      <c r="AF94" s="220">
        <f>AF93</f>
        <v>24194897.29476985</v>
      </c>
      <c r="AH94" s="239">
        <f t="shared" ref="AH94:AH104" si="62">AH93*(1+F93)</f>
        <v>52.750800940793845</v>
      </c>
      <c r="AI94" s="149">
        <f t="shared" ref="AI94:AI104" si="63">AI93*(1+F93)</f>
        <v>154.82622642903112</v>
      </c>
      <c r="AK94" s="122"/>
      <c r="AL94" s="258">
        <f>AL93</f>
        <v>30.329618480442228</v>
      </c>
      <c r="AM94" s="132">
        <f>AM93</f>
        <v>139.19963190265614</v>
      </c>
      <c r="AO94" s="104"/>
      <c r="AP94" s="104"/>
      <c r="AR94" s="225"/>
      <c r="AS94" s="226">
        <f>AS93</f>
        <v>9.279430995013918</v>
      </c>
      <c r="AU94" s="104"/>
      <c r="AV94" s="104"/>
      <c r="AX94" s="225"/>
      <c r="AY94" s="132">
        <f>AY93</f>
        <v>680.82489750521052</v>
      </c>
      <c r="BA94" s="211"/>
      <c r="BB94" s="149">
        <f>BB93</f>
        <v>807.66546695409306</v>
      </c>
      <c r="BD94" s="220">
        <f t="shared" ref="BD94:BD116" si="64">BD93</f>
        <v>42.856850323711022</v>
      </c>
      <c r="BE94" s="132">
        <f>BE93</f>
        <v>9.279430995013918</v>
      </c>
      <c r="BF94" s="132">
        <f>BF93</f>
        <v>19.52715044168146</v>
      </c>
      <c r="BH94" s="104"/>
      <c r="BI94" s="104"/>
      <c r="BJ94" s="104"/>
      <c r="BL94" s="104"/>
      <c r="BM94" s="104"/>
    </row>
    <row r="95" spans="2:65" s="253" customFormat="1" x14ac:dyDescent="0.15">
      <c r="B95" s="366"/>
      <c r="C95" s="179">
        <v>41699</v>
      </c>
      <c r="D95" s="180">
        <v>428.53354494676535</v>
      </c>
      <c r="E95" s="193">
        <f t="shared" si="60"/>
        <v>417.16102671865161</v>
      </c>
      <c r="F95" s="194">
        <f t="shared" si="61"/>
        <v>5.4357769484915282E-3</v>
      </c>
      <c r="H95" s="144"/>
      <c r="I95" s="149">
        <f>I93</f>
        <v>25.025000490944176</v>
      </c>
      <c r="L95" s="122"/>
      <c r="M95" s="132">
        <f>M93</f>
        <v>35.779460940904947</v>
      </c>
      <c r="O95" s="144"/>
      <c r="P95" s="149">
        <f>P93</f>
        <v>7613028.9348912342</v>
      </c>
      <c r="Q95" s="104"/>
      <c r="R95" s="104"/>
      <c r="S95" s="122"/>
      <c r="T95" s="132">
        <f>T93</f>
        <v>9005134.5514065474</v>
      </c>
      <c r="AB95" s="203"/>
      <c r="AC95" s="203">
        <f>AC93</f>
        <v>56.866773858574426</v>
      </c>
      <c r="AD95" s="104"/>
      <c r="AE95" s="220"/>
      <c r="AF95" s="220">
        <f>AF93</f>
        <v>24194897.29476985</v>
      </c>
      <c r="AH95" s="239">
        <f t="shared" si="62"/>
        <v>53.022494692410476</v>
      </c>
      <c r="AI95" s="149">
        <f t="shared" si="63"/>
        <v>155.62366111356533</v>
      </c>
      <c r="AK95" s="122"/>
      <c r="AL95" s="258">
        <f>AL93</f>
        <v>30.329618480442228</v>
      </c>
      <c r="AM95" s="132">
        <f>AM93</f>
        <v>139.19963190265614</v>
      </c>
      <c r="AO95" s="104"/>
      <c r="AP95" s="104"/>
      <c r="AR95" s="225"/>
      <c r="AS95" s="226">
        <f>AS93</f>
        <v>9.279430995013918</v>
      </c>
      <c r="AU95" s="104"/>
      <c r="AV95" s="104"/>
      <c r="AX95" s="225"/>
      <c r="AY95" s="132">
        <f>AY93</f>
        <v>680.82489750521052</v>
      </c>
      <c r="BA95" s="211"/>
      <c r="BB95" s="149">
        <f>BB93</f>
        <v>807.66546695409306</v>
      </c>
      <c r="BD95" s="225">
        <f t="shared" si="64"/>
        <v>42.856850323711022</v>
      </c>
      <c r="BE95" s="132">
        <f>BE93</f>
        <v>9.279430995013918</v>
      </c>
      <c r="BF95" s="132">
        <f>BF93</f>
        <v>19.52715044168146</v>
      </c>
      <c r="BH95" s="104"/>
      <c r="BI95" s="104"/>
      <c r="BJ95" s="104"/>
      <c r="BL95" s="104"/>
      <c r="BM95" s="104"/>
    </row>
    <row r="96" spans="2:65" s="253" customFormat="1" x14ac:dyDescent="0.15">
      <c r="B96" s="366"/>
      <c r="C96" s="179">
        <v>41730</v>
      </c>
      <c r="D96" s="180">
        <v>426.70786032071294</v>
      </c>
      <c r="E96" s="193">
        <f t="shared" si="60"/>
        <v>418.96750231283517</v>
      </c>
      <c r="F96" s="194">
        <f t="shared" si="61"/>
        <v>4.3304035575737155E-3</v>
      </c>
      <c r="H96" s="144"/>
      <c r="I96" s="149">
        <f>I93</f>
        <v>25.025000490944176</v>
      </c>
      <c r="L96" s="122"/>
      <c r="M96" s="132">
        <f>M93</f>
        <v>35.779460940904947</v>
      </c>
      <c r="O96" s="144"/>
      <c r="P96" s="149">
        <f>P93</f>
        <v>7613028.9348912342</v>
      </c>
      <c r="Q96" s="104"/>
      <c r="R96" s="104"/>
      <c r="S96" s="122"/>
      <c r="T96" s="132">
        <f>T93</f>
        <v>9005134.5514065474</v>
      </c>
      <c r="AB96" s="203"/>
      <c r="AC96" s="203">
        <f>AC93</f>
        <v>56.866773858574426</v>
      </c>
      <c r="AD96" s="104"/>
      <c r="AE96" s="220"/>
      <c r="AF96" s="220">
        <f>AF93</f>
        <v>24194897.29476985</v>
      </c>
      <c r="AH96" s="239">
        <f t="shared" si="62"/>
        <v>53.310713146810997</v>
      </c>
      <c r="AI96" s="149">
        <f t="shared" si="63"/>
        <v>156.46959662328632</v>
      </c>
      <c r="AK96" s="122"/>
      <c r="AL96" s="258">
        <f>AL93</f>
        <v>30.329618480442228</v>
      </c>
      <c r="AM96" s="132">
        <f>AM93</f>
        <v>139.19963190265614</v>
      </c>
      <c r="AO96" s="104"/>
      <c r="AP96" s="104"/>
      <c r="AR96" s="225"/>
      <c r="AS96" s="226">
        <f>AS93</f>
        <v>9.279430995013918</v>
      </c>
      <c r="AU96" s="104"/>
      <c r="AV96" s="104"/>
      <c r="AX96" s="225"/>
      <c r="AY96" s="132">
        <f>AY93</f>
        <v>680.82489750521052</v>
      </c>
      <c r="BA96" s="211"/>
      <c r="BB96" s="149">
        <f>BB93</f>
        <v>807.66546695409306</v>
      </c>
      <c r="BD96" s="225">
        <f t="shared" si="64"/>
        <v>42.856850323711022</v>
      </c>
      <c r="BE96" s="132">
        <f>BE93</f>
        <v>9.279430995013918</v>
      </c>
      <c r="BF96" s="132">
        <f>BF93</f>
        <v>19.52715044168146</v>
      </c>
      <c r="BH96" s="104"/>
      <c r="BI96" s="104"/>
      <c r="BJ96" s="104"/>
      <c r="BL96" s="104"/>
      <c r="BM96" s="104"/>
    </row>
    <row r="97" spans="2:65" s="253" customFormat="1" x14ac:dyDescent="0.15">
      <c r="B97" s="366"/>
      <c r="C97" s="179">
        <v>41760</v>
      </c>
      <c r="D97" s="180">
        <v>423.62477522018924</v>
      </c>
      <c r="E97" s="193">
        <f t="shared" si="60"/>
        <v>420.45497384544456</v>
      </c>
      <c r="F97" s="194">
        <f t="shared" si="61"/>
        <v>3.5503267542185729E-3</v>
      </c>
      <c r="H97" s="144"/>
      <c r="I97" s="149">
        <f>I93</f>
        <v>25.025000490944176</v>
      </c>
      <c r="L97" s="122"/>
      <c r="M97" s="132">
        <f>M93</f>
        <v>35.779460940904947</v>
      </c>
      <c r="O97" s="144"/>
      <c r="P97" s="149">
        <f>P93</f>
        <v>7613028.9348912342</v>
      </c>
      <c r="Q97" s="104"/>
      <c r="R97" s="104"/>
      <c r="S97" s="122"/>
      <c r="T97" s="132">
        <f>T93</f>
        <v>9005134.5514065474</v>
      </c>
      <c r="AB97" s="202"/>
      <c r="AC97" s="202">
        <f>AC93</f>
        <v>56.866773858574426</v>
      </c>
      <c r="AD97" s="104"/>
      <c r="AE97" s="219"/>
      <c r="AF97" s="219">
        <f>AF93</f>
        <v>24194897.29476985</v>
      </c>
      <c r="AH97" s="239">
        <f t="shared" si="62"/>
        <v>53.541570048678743</v>
      </c>
      <c r="AI97" s="149">
        <f t="shared" si="63"/>
        <v>157.14717312115593</v>
      </c>
      <c r="AK97" s="122"/>
      <c r="AL97" s="258">
        <f>AL93</f>
        <v>30.329618480442228</v>
      </c>
      <c r="AM97" s="132">
        <f>AM93</f>
        <v>139.19963190265614</v>
      </c>
      <c r="AO97" s="104"/>
      <c r="AP97" s="104"/>
      <c r="AR97" s="225"/>
      <c r="AS97" s="226">
        <f>AS93</f>
        <v>9.279430995013918</v>
      </c>
      <c r="AU97" s="104"/>
      <c r="AV97" s="104"/>
      <c r="AX97" s="225"/>
      <c r="AY97" s="132">
        <f>AY93</f>
        <v>680.82489750521052</v>
      </c>
      <c r="BA97" s="211"/>
      <c r="BB97" s="149">
        <f>BB93</f>
        <v>807.66546695409306</v>
      </c>
      <c r="BD97" s="225">
        <f t="shared" si="64"/>
        <v>42.856850323711022</v>
      </c>
      <c r="BE97" s="132">
        <f>BE93</f>
        <v>9.279430995013918</v>
      </c>
      <c r="BF97" s="132">
        <f>BF93</f>
        <v>19.52715044168146</v>
      </c>
      <c r="BH97" s="104"/>
      <c r="BI97" s="104"/>
      <c r="BJ97" s="104"/>
      <c r="BL97" s="104"/>
      <c r="BM97" s="104"/>
    </row>
    <row r="98" spans="2:65" s="253" customFormat="1" x14ac:dyDescent="0.15">
      <c r="B98" s="366"/>
      <c r="C98" s="179">
        <v>41791</v>
      </c>
      <c r="D98" s="180">
        <v>421.50828349965082</v>
      </c>
      <c r="E98" s="193">
        <f t="shared" si="60"/>
        <v>421.22440423576558</v>
      </c>
      <c r="F98" s="194">
        <f t="shared" ref="F98:F117" si="65">(E98-E97)/E97</f>
        <v>1.8299947394696666E-3</v>
      </c>
      <c r="H98" s="144"/>
      <c r="I98" s="149">
        <f>I93</f>
        <v>25.025000490944176</v>
      </c>
      <c r="L98" s="122"/>
      <c r="M98" s="132">
        <f>M93</f>
        <v>35.779460940904947</v>
      </c>
      <c r="O98" s="144"/>
      <c r="P98" s="149">
        <f>P93</f>
        <v>7613028.9348912342</v>
      </c>
      <c r="Q98" s="104"/>
      <c r="R98" s="104"/>
      <c r="S98" s="122"/>
      <c r="T98" s="132">
        <f>T93</f>
        <v>9005134.5514065474</v>
      </c>
      <c r="AB98" s="203"/>
      <c r="AC98" s="203">
        <f>AC93</f>
        <v>56.866773858574426</v>
      </c>
      <c r="AD98" s="104"/>
      <c r="AE98" s="220"/>
      <c r="AF98" s="220">
        <f>AF93</f>
        <v>24194897.29476985</v>
      </c>
      <c r="AH98" s="239">
        <f t="shared" si="62"/>
        <v>53.731660117285429</v>
      </c>
      <c r="AI98" s="149">
        <f t="shared" si="63"/>
        <v>157.70509693423779</v>
      </c>
      <c r="AK98" s="122"/>
      <c r="AL98" s="258">
        <f>AL93</f>
        <v>30.329618480442228</v>
      </c>
      <c r="AM98" s="132">
        <f>AM93</f>
        <v>139.19963190265614</v>
      </c>
      <c r="AO98" s="104"/>
      <c r="AP98" s="104"/>
      <c r="AR98" s="225"/>
      <c r="AS98" s="226">
        <f>AS93</f>
        <v>9.279430995013918</v>
      </c>
      <c r="AU98" s="104"/>
      <c r="AV98" s="104"/>
      <c r="AX98" s="225"/>
      <c r="AY98" s="132">
        <f>AY93</f>
        <v>680.82489750521052</v>
      </c>
      <c r="BA98" s="211"/>
      <c r="BB98" s="149">
        <f>BB93</f>
        <v>807.66546695409306</v>
      </c>
      <c r="BD98" s="225">
        <f t="shared" si="64"/>
        <v>42.856850323711022</v>
      </c>
      <c r="BE98" s="132">
        <f>BE93</f>
        <v>9.279430995013918</v>
      </c>
      <c r="BF98" s="132">
        <f>BF93</f>
        <v>19.52715044168146</v>
      </c>
      <c r="BH98" s="104"/>
      <c r="BI98" s="104"/>
      <c r="BJ98" s="104"/>
      <c r="BL98" s="104"/>
      <c r="BM98" s="104"/>
    </row>
    <row r="99" spans="2:65" s="253" customFormat="1" x14ac:dyDescent="0.15">
      <c r="B99" s="366"/>
      <c r="C99" s="179">
        <v>41821</v>
      </c>
      <c r="D99" s="180">
        <v>420.18896750485101</v>
      </c>
      <c r="E99" s="193">
        <f t="shared" ref="E99:E120" si="66">AVERAGE(D87:D98)</f>
        <v>421.53259452740309</v>
      </c>
      <c r="F99" s="194">
        <f>(E99-E98)/E98</f>
        <v>7.3165345725082192E-4</v>
      </c>
      <c r="H99" s="144"/>
      <c r="I99" s="149">
        <f>I93</f>
        <v>25.025000490944176</v>
      </c>
      <c r="L99" s="122"/>
      <c r="M99" s="132">
        <f>M93</f>
        <v>35.779460940904947</v>
      </c>
      <c r="O99" s="144"/>
      <c r="P99" s="149">
        <f>P93</f>
        <v>7613028.9348912342</v>
      </c>
      <c r="Q99" s="104"/>
      <c r="R99" s="104"/>
      <c r="S99" s="122"/>
      <c r="T99" s="132">
        <f>T93</f>
        <v>9005134.5514065474</v>
      </c>
      <c r="AB99" s="203"/>
      <c r="AC99" s="203">
        <f>AC93</f>
        <v>56.866773858574426</v>
      </c>
      <c r="AD99" s="104"/>
      <c r="AE99" s="220"/>
      <c r="AF99" s="220">
        <f>AF93</f>
        <v>24194897.29476985</v>
      </c>
      <c r="AH99" s="239">
        <f t="shared" si="62"/>
        <v>53.829988772643041</v>
      </c>
      <c r="AI99" s="149">
        <f t="shared" si="63"/>
        <v>157.99369643201501</v>
      </c>
      <c r="AK99" s="122"/>
      <c r="AL99" s="258">
        <f>AL93</f>
        <v>30.329618480442228</v>
      </c>
      <c r="AM99" s="132">
        <f>AM93</f>
        <v>139.19963190265614</v>
      </c>
      <c r="AO99" s="104"/>
      <c r="AP99" s="104"/>
      <c r="AR99" s="225"/>
      <c r="AS99" s="226">
        <f>AS93</f>
        <v>9.279430995013918</v>
      </c>
      <c r="AU99" s="104"/>
      <c r="AV99" s="104"/>
      <c r="AX99" s="225"/>
      <c r="AY99" s="132">
        <f>AY93</f>
        <v>680.82489750521052</v>
      </c>
      <c r="BA99" s="211"/>
      <c r="BB99" s="149">
        <f>BB93</f>
        <v>807.66546695409306</v>
      </c>
      <c r="BD99" s="225">
        <f t="shared" si="64"/>
        <v>42.856850323711022</v>
      </c>
      <c r="BE99" s="132">
        <f>BE93</f>
        <v>9.279430995013918</v>
      </c>
      <c r="BF99" s="132">
        <f>BF93</f>
        <v>19.52715044168146</v>
      </c>
      <c r="BH99" s="104"/>
      <c r="BI99" s="104"/>
      <c r="BJ99" s="104"/>
      <c r="BL99" s="104"/>
      <c r="BM99" s="104"/>
    </row>
    <row r="100" spans="2:65" s="253" customFormat="1" x14ac:dyDescent="0.15">
      <c r="B100" s="366"/>
      <c r="C100" s="179">
        <v>41852</v>
      </c>
      <c r="D100" s="180">
        <v>425.06092288526901</v>
      </c>
      <c r="E100" s="193">
        <f t="shared" si="66"/>
        <v>421.98417515280744</v>
      </c>
      <c r="F100" s="194">
        <f t="shared" si="65"/>
        <v>1.0712828171938443E-3</v>
      </c>
      <c r="H100" s="144"/>
      <c r="I100" s="149">
        <f>I93</f>
        <v>25.025000490944176</v>
      </c>
      <c r="L100" s="122"/>
      <c r="M100" s="132">
        <f>M93</f>
        <v>35.779460940904947</v>
      </c>
      <c r="O100" s="144"/>
      <c r="P100" s="149">
        <f>P93</f>
        <v>7613028.9348912342</v>
      </c>
      <c r="Q100" s="104"/>
      <c r="R100" s="104"/>
      <c r="S100" s="122"/>
      <c r="T100" s="132">
        <f>T93</f>
        <v>9005134.5514065474</v>
      </c>
      <c r="AB100" s="203"/>
      <c r="AC100" s="203">
        <f>AC93</f>
        <v>56.866773858574426</v>
      </c>
      <c r="AD100" s="104"/>
      <c r="AE100" s="220"/>
      <c r="AF100" s="220">
        <f>AF93</f>
        <v>24194897.29476985</v>
      </c>
      <c r="AH100" s="239">
        <f t="shared" si="62"/>
        <v>53.869373670032317</v>
      </c>
      <c r="AI100" s="149">
        <f t="shared" si="63"/>
        <v>158.10929306623333</v>
      </c>
      <c r="AK100" s="122"/>
      <c r="AL100" s="258">
        <f>AL93</f>
        <v>30.329618480442228</v>
      </c>
      <c r="AM100" s="132">
        <f>AM93</f>
        <v>139.19963190265614</v>
      </c>
      <c r="AO100" s="104"/>
      <c r="AP100" s="104"/>
      <c r="AR100" s="225"/>
      <c r="AS100" s="226">
        <f>AS93</f>
        <v>9.279430995013918</v>
      </c>
      <c r="AU100" s="104"/>
      <c r="AV100" s="104"/>
      <c r="AX100" s="225"/>
      <c r="AY100" s="132">
        <f>AY93</f>
        <v>680.82489750521052</v>
      </c>
      <c r="BA100" s="211"/>
      <c r="BB100" s="149">
        <f>BB93</f>
        <v>807.66546695409306</v>
      </c>
      <c r="BD100" s="225">
        <f t="shared" si="64"/>
        <v>42.856850323711022</v>
      </c>
      <c r="BE100" s="132">
        <f>BE93</f>
        <v>9.279430995013918</v>
      </c>
      <c r="BF100" s="132">
        <f>BF93</f>
        <v>19.52715044168146</v>
      </c>
      <c r="BH100" s="104"/>
      <c r="BI100" s="104"/>
      <c r="BJ100" s="104"/>
      <c r="BL100" s="104"/>
      <c r="BM100" s="104"/>
    </row>
    <row r="101" spans="2:65" s="253" customFormat="1" x14ac:dyDescent="0.15">
      <c r="B101" s="366"/>
      <c r="C101" s="179">
        <v>41883</v>
      </c>
      <c r="D101" s="180">
        <v>434.89223516399977</v>
      </c>
      <c r="E101" s="193">
        <f t="shared" si="66"/>
        <v>422.53091872657984</v>
      </c>
      <c r="F101" s="194">
        <f t="shared" si="65"/>
        <v>1.2956494721026405E-3</v>
      </c>
      <c r="H101" s="144"/>
      <c r="I101" s="149">
        <f>I93</f>
        <v>25.025000490944176</v>
      </c>
      <c r="L101" s="122"/>
      <c r="M101" s="132">
        <f>M93</f>
        <v>35.779460940904947</v>
      </c>
      <c r="O101" s="144"/>
      <c r="P101" s="149">
        <f>P93</f>
        <v>7613028.9348912342</v>
      </c>
      <c r="Q101" s="104"/>
      <c r="R101" s="104"/>
      <c r="S101" s="122"/>
      <c r="T101" s="132">
        <f>T93</f>
        <v>9005134.5514065474</v>
      </c>
      <c r="AB101" s="203"/>
      <c r="AC101" s="203">
        <f>AC93</f>
        <v>56.866773858574426</v>
      </c>
      <c r="AD101" s="104"/>
      <c r="AE101" s="220"/>
      <c r="AF101" s="220">
        <f>AF93</f>
        <v>24194897.29476985</v>
      </c>
      <c r="AH101" s="239">
        <f t="shared" si="62"/>
        <v>53.927083004418023</v>
      </c>
      <c r="AI101" s="149">
        <f t="shared" si="63"/>
        <v>158.27867283513388</v>
      </c>
      <c r="AK101" s="122"/>
      <c r="AL101" s="258">
        <f>AL93</f>
        <v>30.329618480442228</v>
      </c>
      <c r="AM101" s="132">
        <f>AM93</f>
        <v>139.19963190265614</v>
      </c>
      <c r="AO101" s="104"/>
      <c r="AP101" s="104"/>
      <c r="AR101" s="225"/>
      <c r="AS101" s="226">
        <f>AS93</f>
        <v>9.279430995013918</v>
      </c>
      <c r="AU101" s="104"/>
      <c r="AV101" s="104"/>
      <c r="AX101" s="225"/>
      <c r="AY101" s="132">
        <f>AY93</f>
        <v>680.82489750521052</v>
      </c>
      <c r="BA101" s="211"/>
      <c r="BB101" s="149">
        <f>BB93</f>
        <v>807.66546695409306</v>
      </c>
      <c r="BD101" s="225">
        <f t="shared" si="64"/>
        <v>42.856850323711022</v>
      </c>
      <c r="BE101" s="132">
        <f>BE93</f>
        <v>9.279430995013918</v>
      </c>
      <c r="BF101" s="132">
        <f>BF93</f>
        <v>19.52715044168146</v>
      </c>
      <c r="BH101" s="104"/>
      <c r="BI101" s="104"/>
      <c r="BJ101" s="104"/>
      <c r="BL101" s="104"/>
      <c r="BM101" s="104"/>
    </row>
    <row r="102" spans="2:65" s="253" customFormat="1" x14ac:dyDescent="0.15">
      <c r="B102" s="366"/>
      <c r="C102" s="179">
        <v>41913</v>
      </c>
      <c r="D102" s="180">
        <v>438.09916144129727</v>
      </c>
      <c r="E102" s="193">
        <f t="shared" si="66"/>
        <v>424.0569383235798</v>
      </c>
      <c r="F102" s="194">
        <f t="shared" si="65"/>
        <v>3.6116164033606433E-3</v>
      </c>
      <c r="H102" s="144"/>
      <c r="I102" s="149">
        <f>I93</f>
        <v>25.025000490944176</v>
      </c>
      <c r="L102" s="122"/>
      <c r="M102" s="132">
        <f>M93</f>
        <v>35.779460940904947</v>
      </c>
      <c r="O102" s="144"/>
      <c r="P102" s="149">
        <f>P93</f>
        <v>7613028.9348912342</v>
      </c>
      <c r="Q102" s="104"/>
      <c r="R102" s="104"/>
      <c r="S102" s="122"/>
      <c r="T102" s="132">
        <f>T93</f>
        <v>9005134.5514065474</v>
      </c>
      <c r="AB102" s="203"/>
      <c r="AC102" s="203">
        <f>AC93</f>
        <v>56.866773858574426</v>
      </c>
      <c r="AD102" s="104"/>
      <c r="AE102" s="220"/>
      <c r="AF102" s="220">
        <f>AF93</f>
        <v>24194897.29476985</v>
      </c>
      <c r="AH102" s="239">
        <f t="shared" si="62"/>
        <v>53.99695360104473</v>
      </c>
      <c r="AI102" s="149">
        <f t="shared" si="63"/>
        <v>158.48374651403782</v>
      </c>
      <c r="AK102" s="122"/>
      <c r="AL102" s="258">
        <f>AL93</f>
        <v>30.329618480442228</v>
      </c>
      <c r="AM102" s="132">
        <f>AM93</f>
        <v>139.19963190265614</v>
      </c>
      <c r="AO102" s="104"/>
      <c r="AP102" s="104"/>
      <c r="AR102" s="225"/>
      <c r="AS102" s="226">
        <f>AS93</f>
        <v>9.279430995013918</v>
      </c>
      <c r="AU102" s="104"/>
      <c r="AV102" s="104"/>
      <c r="AX102" s="225"/>
      <c r="AY102" s="132">
        <f>AY93</f>
        <v>680.82489750521052</v>
      </c>
      <c r="BA102" s="211"/>
      <c r="BB102" s="149">
        <f>BB93</f>
        <v>807.66546695409306</v>
      </c>
      <c r="BD102" s="225">
        <f t="shared" si="64"/>
        <v>42.856850323711022</v>
      </c>
      <c r="BE102" s="132">
        <f>BE93</f>
        <v>9.279430995013918</v>
      </c>
      <c r="BF102" s="132">
        <f>BF93</f>
        <v>19.52715044168146</v>
      </c>
      <c r="BH102" s="104"/>
      <c r="BI102" s="104"/>
      <c r="BJ102" s="104"/>
      <c r="BL102" s="104"/>
      <c r="BM102" s="104"/>
    </row>
    <row r="103" spans="2:65" s="253" customFormat="1" x14ac:dyDescent="0.15">
      <c r="B103" s="366"/>
      <c r="C103" s="179">
        <v>41944</v>
      </c>
      <c r="D103" s="180">
        <v>450.33322645989057</v>
      </c>
      <c r="E103" s="193">
        <f t="shared" si="66"/>
        <v>426.12378548708313</v>
      </c>
      <c r="F103" s="194">
        <f t="shared" si="65"/>
        <v>4.8739850164323988E-3</v>
      </c>
      <c r="H103" s="155"/>
      <c r="I103" s="149">
        <f>I94</f>
        <v>25.025000490944176</v>
      </c>
      <c r="L103" s="170"/>
      <c r="M103" s="132">
        <f>M94</f>
        <v>35.779460940904947</v>
      </c>
      <c r="O103" s="144"/>
      <c r="P103" s="149">
        <f>P93</f>
        <v>7613028.9348912342</v>
      </c>
      <c r="Q103" s="104"/>
      <c r="R103" s="104"/>
      <c r="S103" s="122"/>
      <c r="T103" s="132">
        <f>T93</f>
        <v>9005134.5514065474</v>
      </c>
      <c r="AB103" s="203"/>
      <c r="AC103" s="203">
        <f>AC93</f>
        <v>56.866773858574426</v>
      </c>
      <c r="AD103" s="104"/>
      <c r="AE103" s="220"/>
      <c r="AF103" s="220">
        <f>AF93</f>
        <v>24194897.29476985</v>
      </c>
      <c r="AH103" s="239">
        <f t="shared" si="62"/>
        <v>54.191969884401765</v>
      </c>
      <c r="AI103" s="149">
        <f t="shared" si="63"/>
        <v>159.05612901261395</v>
      </c>
      <c r="AK103" s="122"/>
      <c r="AL103" s="258">
        <f>AL93</f>
        <v>30.329618480442228</v>
      </c>
      <c r="AM103" s="132">
        <f>AM93</f>
        <v>139.19963190265614</v>
      </c>
      <c r="AO103" s="104"/>
      <c r="AP103" s="104"/>
      <c r="AR103" s="225"/>
      <c r="AS103" s="226">
        <f>AS93</f>
        <v>9.279430995013918</v>
      </c>
      <c r="AU103" s="104"/>
      <c r="AV103" s="104"/>
      <c r="AX103" s="225"/>
      <c r="AY103" s="132">
        <f>AY93</f>
        <v>680.82489750521052</v>
      </c>
      <c r="BA103" s="211"/>
      <c r="BB103" s="149">
        <f>BB93</f>
        <v>807.66546695409306</v>
      </c>
      <c r="BD103" s="225">
        <f t="shared" si="64"/>
        <v>42.856850323711022</v>
      </c>
      <c r="BE103" s="132">
        <f>BE93</f>
        <v>9.279430995013918</v>
      </c>
      <c r="BF103" s="132">
        <f>BF93</f>
        <v>19.52715044168146</v>
      </c>
      <c r="BH103" s="104"/>
      <c r="BI103" s="104"/>
      <c r="BJ103" s="104"/>
      <c r="BL103" s="104"/>
      <c r="BM103" s="104"/>
    </row>
    <row r="104" spans="2:65" s="253" customFormat="1" ht="11.25" thickBot="1" x14ac:dyDescent="0.2">
      <c r="B104" s="367"/>
      <c r="C104" s="183">
        <v>41974</v>
      </c>
      <c r="D104" s="190">
        <v>466.33944694251551</v>
      </c>
      <c r="E104" s="191">
        <f t="shared" si="66"/>
        <v>428.9105835494322</v>
      </c>
      <c r="F104" s="192">
        <f t="shared" si="65"/>
        <v>6.539879155451539E-3</v>
      </c>
      <c r="H104" s="154"/>
      <c r="I104" s="147">
        <f>I93</f>
        <v>25.025000490944176</v>
      </c>
      <c r="L104" s="138"/>
      <c r="M104" s="136">
        <f>M93</f>
        <v>35.779460940904947</v>
      </c>
      <c r="O104" s="154"/>
      <c r="P104" s="147">
        <f>P93</f>
        <v>7613028.9348912342</v>
      </c>
      <c r="Q104" s="104"/>
      <c r="R104" s="104"/>
      <c r="S104" s="138"/>
      <c r="T104" s="136">
        <f>T93</f>
        <v>9005134.5514065474</v>
      </c>
      <c r="AB104" s="204"/>
      <c r="AC104" s="204">
        <f>AC93</f>
        <v>56.866773858574426</v>
      </c>
      <c r="AD104" s="104"/>
      <c r="AE104" s="221"/>
      <c r="AF104" s="221">
        <f>AF93</f>
        <v>24194897.29476985</v>
      </c>
      <c r="AH104" s="239">
        <f t="shared" si="62"/>
        <v>54.456100733629292</v>
      </c>
      <c r="AI104" s="149">
        <f t="shared" si="63"/>
        <v>159.83136620219315</v>
      </c>
      <c r="AK104" s="138"/>
      <c r="AL104" s="275">
        <f>AL93</f>
        <v>30.329618480442228</v>
      </c>
      <c r="AM104" s="136">
        <f>AM93</f>
        <v>139.19963190265614</v>
      </c>
      <c r="AO104" s="104"/>
      <c r="AP104" s="104"/>
      <c r="AR104" s="282"/>
      <c r="AS104" s="229">
        <f>AS93</f>
        <v>9.279430995013918</v>
      </c>
      <c r="AU104" s="104"/>
      <c r="AV104" s="104"/>
      <c r="AX104" s="282"/>
      <c r="AY104" s="136">
        <f>AY93</f>
        <v>680.82489750521052</v>
      </c>
      <c r="BA104" s="284"/>
      <c r="BB104" s="147">
        <f>BB93</f>
        <v>807.66546695409306</v>
      </c>
      <c r="BD104" s="282">
        <f t="shared" si="64"/>
        <v>42.856850323711022</v>
      </c>
      <c r="BE104" s="136">
        <f>BE93</f>
        <v>9.279430995013918</v>
      </c>
      <c r="BF104" s="136">
        <f>BF93</f>
        <v>19.52715044168146</v>
      </c>
      <c r="BH104" s="104"/>
      <c r="BI104" s="104"/>
      <c r="BJ104" s="104"/>
      <c r="BL104" s="104"/>
      <c r="BM104" s="104"/>
    </row>
    <row r="105" spans="2:65" s="253" customFormat="1" x14ac:dyDescent="0.15">
      <c r="B105" s="365">
        <v>2015</v>
      </c>
      <c r="C105" s="175">
        <v>42005</v>
      </c>
      <c r="D105" s="198">
        <v>477.19</v>
      </c>
      <c r="E105" s="199">
        <f t="shared" si="66"/>
        <v>433.05375566711137</v>
      </c>
      <c r="F105" s="195">
        <f t="shared" si="65"/>
        <v>9.6597572468194136E-3</v>
      </c>
      <c r="H105" s="156"/>
      <c r="I105" s="150">
        <f>(1+(($E$104-$E$14)/$E$14))*$H$20*0.98</f>
        <v>26.100824803501482</v>
      </c>
      <c r="L105" s="120"/>
      <c r="M105" s="137">
        <f>(1+((E104-$E$14)/$E$14))*L$20*0.98</f>
        <v>37.317619311145513</v>
      </c>
      <c r="O105" s="142"/>
      <c r="P105" s="153">
        <f>(1+((E104-$E$14)/$E$14))*O$20*0.98</f>
        <v>7940312.9093040237</v>
      </c>
      <c r="Q105" s="104"/>
      <c r="R105" s="104"/>
      <c r="S105" s="120"/>
      <c r="T105" s="137">
        <f>(1+((E104-$E$14)/$E$14))*S$20*0.98</f>
        <v>9392265.1207649279</v>
      </c>
      <c r="AB105" s="200">
        <v>32.880000000000003</v>
      </c>
      <c r="AC105" s="200">
        <f>AB105*0.98*(1+((E104-$E$93)/$E$93))</f>
        <v>33.481611571304001</v>
      </c>
      <c r="AD105" s="104"/>
      <c r="AE105" s="217">
        <v>13575005.960000001</v>
      </c>
      <c r="AF105" s="217">
        <f>AE105*0.98*(1+((E104-$E$93)/$E$93))</f>
        <v>13823390.408481047</v>
      </c>
      <c r="AH105" s="248">
        <f>AH104*(1+F104)*0.98</f>
        <v>53.715992310670245</v>
      </c>
      <c r="AI105" s="153">
        <f>AI104*(1+F104)*0.98</f>
        <v>157.65911114195811</v>
      </c>
      <c r="AK105" s="120"/>
      <c r="AL105" s="277">
        <v>0</v>
      </c>
      <c r="AM105" s="278">
        <f>AL$20*0.98*(1+((E104-$E$14)/$E$14))</f>
        <v>145.18382152751136</v>
      </c>
      <c r="AO105" s="104"/>
      <c r="AP105" s="104"/>
      <c r="AR105" s="223">
        <v>5.43</v>
      </c>
      <c r="AS105" s="224">
        <f>AR105*0.98*(1+((E104-$E$93)/$E$93))</f>
        <v>5.5293537357719194</v>
      </c>
      <c r="AU105" s="104"/>
      <c r="AV105" s="104"/>
      <c r="AX105" s="223"/>
      <c r="AY105" s="281">
        <f>(AY93)*0.98*(1+((E104-$E$57)/$E$57))</f>
        <v>716.22435574562166</v>
      </c>
      <c r="BA105" s="210"/>
      <c r="BB105" s="283">
        <f>(BB93)*0.98*(1+((E104-$E$57)/$E$57))</f>
        <v>849.65999458437079</v>
      </c>
      <c r="BD105" s="217">
        <f>12.55*0.98*(1+((E104-$E$93)/$E$93))</f>
        <v>12.779629720798821</v>
      </c>
      <c r="BE105" s="281">
        <f>2.24*0.98*(1+((E104-$E$93)/$E$93))</f>
        <v>2.2809857031545309</v>
      </c>
      <c r="BF105" s="281">
        <f>13.09*0.98*(1+((E104-$E$57)/$E$57))</f>
        <v>13.77061392887506</v>
      </c>
      <c r="BH105" s="104"/>
      <c r="BI105" s="104"/>
      <c r="BJ105" s="104"/>
      <c r="BL105" s="104"/>
      <c r="BM105" s="104"/>
    </row>
    <row r="106" spans="2:65" s="253" customFormat="1" x14ac:dyDescent="0.15">
      <c r="B106" s="366"/>
      <c r="C106" s="179">
        <v>42036</v>
      </c>
      <c r="D106" s="197">
        <v>481.1722903629655</v>
      </c>
      <c r="E106" s="193">
        <f t="shared" si="66"/>
        <v>437.15799526487564</v>
      </c>
      <c r="F106" s="194">
        <f t="shared" si="65"/>
        <v>9.4774367940574887E-3</v>
      </c>
      <c r="H106" s="144"/>
      <c r="I106" s="149">
        <f>I105</f>
        <v>26.100824803501482</v>
      </c>
      <c r="L106" s="122"/>
      <c r="M106" s="132">
        <f>M105</f>
        <v>37.317619311145513</v>
      </c>
      <c r="O106" s="144"/>
      <c r="P106" s="149">
        <f>P105</f>
        <v>7940312.9093040237</v>
      </c>
      <c r="Q106" s="104"/>
      <c r="R106" s="104"/>
      <c r="S106" s="122"/>
      <c r="T106" s="132">
        <f>T105</f>
        <v>9392265.1207649279</v>
      </c>
      <c r="AB106" s="203"/>
      <c r="AC106" s="203">
        <f>AC105</f>
        <v>33.481611571304001</v>
      </c>
      <c r="AD106" s="104"/>
      <c r="AE106" s="220"/>
      <c r="AF106" s="220">
        <f>AF105</f>
        <v>13823390.408481047</v>
      </c>
      <c r="AH106" s="239">
        <f t="shared" ref="AH106:AH116" si="67">AH105*(1+F105)</f>
        <v>54.234875756663335</v>
      </c>
      <c r="AI106" s="239">
        <f t="shared" ref="AI106:AI116" si="68">AI105*(1+F105)</f>
        <v>159.18205988333872</v>
      </c>
      <c r="AK106" s="122"/>
      <c r="AL106" s="258">
        <f>AL105</f>
        <v>0</v>
      </c>
      <c r="AM106" s="132">
        <f>AM105</f>
        <v>145.18382152751136</v>
      </c>
      <c r="AO106" s="104"/>
      <c r="AP106" s="104"/>
      <c r="AR106" s="225"/>
      <c r="AS106" s="226">
        <f>AS105</f>
        <v>5.5293537357719194</v>
      </c>
      <c r="AU106" s="104"/>
      <c r="AV106" s="104"/>
      <c r="AX106" s="225"/>
      <c r="AY106" s="132">
        <f>AY105</f>
        <v>716.22435574562166</v>
      </c>
      <c r="BA106" s="211"/>
      <c r="BB106" s="149">
        <f>BB105</f>
        <v>849.65999458437079</v>
      </c>
      <c r="BD106" s="220">
        <f t="shared" si="64"/>
        <v>12.779629720798821</v>
      </c>
      <c r="BE106" s="132">
        <f>BE105</f>
        <v>2.2809857031545309</v>
      </c>
      <c r="BF106" s="132">
        <f>BF105</f>
        <v>13.77061392887506</v>
      </c>
      <c r="BH106" s="104"/>
      <c r="BI106" s="104"/>
      <c r="BJ106" s="104"/>
      <c r="BL106" s="104"/>
      <c r="BM106" s="104"/>
    </row>
    <row r="107" spans="2:65" s="253" customFormat="1" x14ac:dyDescent="0.15">
      <c r="B107" s="366"/>
      <c r="C107" s="179">
        <v>42064</v>
      </c>
      <c r="D107" s="180">
        <v>489.82643811604004</v>
      </c>
      <c r="E107" s="193">
        <f t="shared" si="66"/>
        <v>441.13755956234218</v>
      </c>
      <c r="F107" s="194">
        <f t="shared" si="65"/>
        <v>9.1032632150655404E-3</v>
      </c>
      <c r="H107" s="144"/>
      <c r="I107" s="149">
        <f t="shared" ref="I107:I116" si="69">I106</f>
        <v>26.100824803501482</v>
      </c>
      <c r="L107" s="122"/>
      <c r="M107" s="132">
        <f>M105</f>
        <v>37.317619311145513</v>
      </c>
      <c r="O107" s="144"/>
      <c r="P107" s="149">
        <f>P105</f>
        <v>7940312.9093040237</v>
      </c>
      <c r="Q107" s="104"/>
      <c r="R107" s="104"/>
      <c r="S107" s="122"/>
      <c r="T107" s="132">
        <f>T105</f>
        <v>9392265.1207649279</v>
      </c>
      <c r="AB107" s="203"/>
      <c r="AC107" s="203">
        <f>AC105</f>
        <v>33.481611571304001</v>
      </c>
      <c r="AD107" s="104"/>
      <c r="AE107" s="220"/>
      <c r="AF107" s="220">
        <f>AF105</f>
        <v>13823390.408481047</v>
      </c>
      <c r="AH107" s="239">
        <f t="shared" si="67"/>
        <v>54.748883363680676</v>
      </c>
      <c r="AI107" s="239">
        <f t="shared" si="68"/>
        <v>160.69069779463095</v>
      </c>
      <c r="AK107" s="122"/>
      <c r="AL107" s="258">
        <f>AL105</f>
        <v>0</v>
      </c>
      <c r="AM107" s="132">
        <f>AM105</f>
        <v>145.18382152751136</v>
      </c>
      <c r="AO107" s="104"/>
      <c r="AP107" s="104"/>
      <c r="AR107" s="225"/>
      <c r="AS107" s="226">
        <f>AS105</f>
        <v>5.5293537357719194</v>
      </c>
      <c r="AU107" s="104"/>
      <c r="AV107" s="104"/>
      <c r="AX107" s="225"/>
      <c r="AY107" s="132">
        <f>AY105</f>
        <v>716.22435574562166</v>
      </c>
      <c r="BA107" s="211"/>
      <c r="BB107" s="149">
        <f>BB105</f>
        <v>849.65999458437079</v>
      </c>
      <c r="BD107" s="225">
        <f t="shared" si="64"/>
        <v>12.779629720798821</v>
      </c>
      <c r="BE107" s="132">
        <f>BE105</f>
        <v>2.2809857031545309</v>
      </c>
      <c r="BF107" s="132">
        <f>BF105</f>
        <v>13.77061392887506</v>
      </c>
      <c r="BH107" s="104"/>
      <c r="BI107" s="104"/>
      <c r="BJ107" s="104"/>
      <c r="BL107" s="104"/>
      <c r="BM107" s="104"/>
    </row>
    <row r="108" spans="2:65" s="253" customFormat="1" x14ac:dyDescent="0.15">
      <c r="B108" s="366"/>
      <c r="C108" s="179">
        <v>42095</v>
      </c>
      <c r="D108" s="180">
        <v>474.4000955182882</v>
      </c>
      <c r="E108" s="193">
        <f t="shared" si="66"/>
        <v>446.24530065978178</v>
      </c>
      <c r="F108" s="194">
        <f t="shared" si="65"/>
        <v>1.1578567697810748E-2</v>
      </c>
      <c r="H108" s="144"/>
      <c r="I108" s="149">
        <f t="shared" si="69"/>
        <v>26.100824803501482</v>
      </c>
      <c r="L108" s="122"/>
      <c r="M108" s="132">
        <f>M105</f>
        <v>37.317619311145513</v>
      </c>
      <c r="O108" s="144"/>
      <c r="P108" s="149">
        <f>P105</f>
        <v>7940312.9093040237</v>
      </c>
      <c r="Q108" s="104"/>
      <c r="R108" s="104"/>
      <c r="S108" s="122"/>
      <c r="T108" s="132">
        <f>T105</f>
        <v>9392265.1207649279</v>
      </c>
      <c r="AB108" s="203"/>
      <c r="AC108" s="203">
        <f>AC105</f>
        <v>33.481611571304001</v>
      </c>
      <c r="AD108" s="104"/>
      <c r="AE108" s="220"/>
      <c r="AF108" s="220">
        <f>AF105</f>
        <v>13823390.408481047</v>
      </c>
      <c r="AH108" s="239">
        <f t="shared" si="67"/>
        <v>55.247276859671189</v>
      </c>
      <c r="AI108" s="239">
        <f t="shared" si="68"/>
        <v>162.15350751286803</v>
      </c>
      <c r="AK108" s="122"/>
      <c r="AL108" s="258">
        <f>AL105</f>
        <v>0</v>
      </c>
      <c r="AM108" s="132">
        <f>AM105</f>
        <v>145.18382152751136</v>
      </c>
      <c r="AO108" s="104"/>
      <c r="AP108" s="104"/>
      <c r="AR108" s="225"/>
      <c r="AS108" s="226">
        <f>AS105</f>
        <v>5.5293537357719194</v>
      </c>
      <c r="AU108" s="104"/>
      <c r="AV108" s="104"/>
      <c r="AX108" s="225"/>
      <c r="AY108" s="132">
        <f>AY105</f>
        <v>716.22435574562166</v>
      </c>
      <c r="BA108" s="211"/>
      <c r="BB108" s="149">
        <f>BB105</f>
        <v>849.65999458437079</v>
      </c>
      <c r="BD108" s="225">
        <f t="shared" si="64"/>
        <v>12.779629720798821</v>
      </c>
      <c r="BE108" s="132">
        <f>BE105</f>
        <v>2.2809857031545309</v>
      </c>
      <c r="BF108" s="132">
        <f>BF105</f>
        <v>13.77061392887506</v>
      </c>
      <c r="BH108" s="104"/>
      <c r="BI108" s="104"/>
      <c r="BJ108" s="104"/>
      <c r="BL108" s="104"/>
      <c r="BM108" s="104"/>
    </row>
    <row r="109" spans="2:65" s="253" customFormat="1" x14ac:dyDescent="0.15">
      <c r="B109" s="366"/>
      <c r="C109" s="179">
        <v>42125</v>
      </c>
      <c r="D109" s="180">
        <v>484.13079524933755</v>
      </c>
      <c r="E109" s="193">
        <f t="shared" si="66"/>
        <v>450.21965359291312</v>
      </c>
      <c r="F109" s="194">
        <f t="shared" si="65"/>
        <v>8.9062068043185873E-3</v>
      </c>
      <c r="H109" s="144"/>
      <c r="I109" s="149">
        <f t="shared" si="69"/>
        <v>26.100824803501482</v>
      </c>
      <c r="L109" s="122"/>
      <c r="M109" s="132">
        <f>M105</f>
        <v>37.317619311145513</v>
      </c>
      <c r="O109" s="144"/>
      <c r="P109" s="149">
        <f>P105</f>
        <v>7940312.9093040237</v>
      </c>
      <c r="Q109" s="104"/>
      <c r="R109" s="104"/>
      <c r="S109" s="122"/>
      <c r="T109" s="132">
        <f>T105</f>
        <v>9392265.1207649279</v>
      </c>
      <c r="AB109" s="202"/>
      <c r="AC109" s="202">
        <f>AC105</f>
        <v>33.481611571304001</v>
      </c>
      <c r="AD109" s="104"/>
      <c r="AE109" s="219"/>
      <c r="AF109" s="219">
        <f>AF105</f>
        <v>13823390.408481047</v>
      </c>
      <c r="AH109" s="239">
        <f t="shared" si="67"/>
        <v>55.88696119491059</v>
      </c>
      <c r="AI109" s="239">
        <f t="shared" si="68"/>
        <v>164.03101287704325</v>
      </c>
      <c r="AK109" s="122"/>
      <c r="AL109" s="258">
        <f>AL105</f>
        <v>0</v>
      </c>
      <c r="AM109" s="132">
        <f>AM105</f>
        <v>145.18382152751136</v>
      </c>
      <c r="AO109" s="104"/>
      <c r="AP109" s="104"/>
      <c r="AR109" s="225"/>
      <c r="AS109" s="226">
        <f>AS105</f>
        <v>5.5293537357719194</v>
      </c>
      <c r="AU109" s="104"/>
      <c r="AV109" s="104"/>
      <c r="AX109" s="225"/>
      <c r="AY109" s="132">
        <f>AY105</f>
        <v>716.22435574562166</v>
      </c>
      <c r="BA109" s="211"/>
      <c r="BB109" s="149">
        <f>BB105</f>
        <v>849.65999458437079</v>
      </c>
      <c r="BD109" s="225">
        <f t="shared" si="64"/>
        <v>12.779629720798821</v>
      </c>
      <c r="BE109" s="132">
        <f>BE105</f>
        <v>2.2809857031545309</v>
      </c>
      <c r="BF109" s="132">
        <f>BF105</f>
        <v>13.77061392887506</v>
      </c>
      <c r="BH109" s="104"/>
      <c r="BI109" s="104"/>
      <c r="BJ109" s="104"/>
      <c r="BL109" s="104"/>
      <c r="BM109" s="104"/>
    </row>
    <row r="110" spans="2:65" s="253" customFormat="1" x14ac:dyDescent="0.15">
      <c r="B110" s="366"/>
      <c r="C110" s="179">
        <v>42156</v>
      </c>
      <c r="D110" s="180">
        <v>489.25817363492297</v>
      </c>
      <c r="E110" s="193">
        <f t="shared" si="66"/>
        <v>455.26182192867554</v>
      </c>
      <c r="F110" s="194">
        <f t="shared" si="65"/>
        <v>1.1199351906395306E-2</v>
      </c>
      <c r="H110" s="144"/>
      <c r="I110" s="149">
        <f t="shared" si="69"/>
        <v>26.100824803501482</v>
      </c>
      <c r="L110" s="122"/>
      <c r="M110" s="132">
        <f>M105</f>
        <v>37.317619311145513</v>
      </c>
      <c r="O110" s="144"/>
      <c r="P110" s="149">
        <f>P105</f>
        <v>7940312.9093040237</v>
      </c>
      <c r="Q110" s="104"/>
      <c r="R110" s="104"/>
      <c r="S110" s="122"/>
      <c r="T110" s="132">
        <f>T105</f>
        <v>9392265.1207649279</v>
      </c>
      <c r="AB110" s="203"/>
      <c r="AC110" s="203">
        <f>AC105</f>
        <v>33.481611571304001</v>
      </c>
      <c r="AD110" s="104"/>
      <c r="AE110" s="220"/>
      <c r="AF110" s="220">
        <f>AF105</f>
        <v>13823390.408481047</v>
      </c>
      <c r="AH110" s="239">
        <f t="shared" si="67"/>
        <v>56.384702028977394</v>
      </c>
      <c r="AI110" s="239">
        <f t="shared" si="68"/>
        <v>165.49190700004806</v>
      </c>
      <c r="AK110" s="122"/>
      <c r="AL110" s="258">
        <f>AL105</f>
        <v>0</v>
      </c>
      <c r="AM110" s="132">
        <f>AM105</f>
        <v>145.18382152751136</v>
      </c>
      <c r="AO110" s="104"/>
      <c r="AP110" s="104"/>
      <c r="AR110" s="225"/>
      <c r="AS110" s="226">
        <f>AS105</f>
        <v>5.5293537357719194</v>
      </c>
      <c r="AU110" s="104"/>
      <c r="AV110" s="104"/>
      <c r="AX110" s="225"/>
      <c r="AY110" s="132">
        <f>AY105</f>
        <v>716.22435574562166</v>
      </c>
      <c r="BA110" s="211"/>
      <c r="BB110" s="149">
        <f>BB105</f>
        <v>849.65999458437079</v>
      </c>
      <c r="BD110" s="225">
        <f t="shared" si="64"/>
        <v>12.779629720798821</v>
      </c>
      <c r="BE110" s="132">
        <f>BE105</f>
        <v>2.2809857031545309</v>
      </c>
      <c r="BF110" s="132">
        <f>BF105</f>
        <v>13.77061392887506</v>
      </c>
      <c r="BH110" s="104"/>
      <c r="BI110" s="104"/>
      <c r="BJ110" s="104"/>
      <c r="BL110" s="104"/>
      <c r="BM110" s="104"/>
    </row>
    <row r="111" spans="2:65" s="253" customFormat="1" x14ac:dyDescent="0.15">
      <c r="B111" s="366"/>
      <c r="C111" s="179">
        <v>42186</v>
      </c>
      <c r="D111" s="180">
        <v>510.75206001732249</v>
      </c>
      <c r="E111" s="193">
        <f t="shared" si="66"/>
        <v>460.90764610661478</v>
      </c>
      <c r="F111" s="194">
        <f t="shared" si="65"/>
        <v>1.2401268689786481E-2</v>
      </c>
      <c r="H111" s="144"/>
      <c r="I111" s="149">
        <f t="shared" si="69"/>
        <v>26.100824803501482</v>
      </c>
      <c r="L111" s="122"/>
      <c r="M111" s="132">
        <f>M105</f>
        <v>37.317619311145513</v>
      </c>
      <c r="O111" s="144"/>
      <c r="P111" s="149">
        <f>P105</f>
        <v>7940312.9093040237</v>
      </c>
      <c r="Q111" s="104"/>
      <c r="R111" s="104"/>
      <c r="S111" s="122"/>
      <c r="T111" s="132">
        <f>T105</f>
        <v>9392265.1207649279</v>
      </c>
      <c r="AB111" s="203"/>
      <c r="AC111" s="203">
        <f>AC105</f>
        <v>33.481611571304001</v>
      </c>
      <c r="AD111" s="104"/>
      <c r="AE111" s="220"/>
      <c r="AF111" s="220">
        <f>AF105</f>
        <v>13823390.408481047</v>
      </c>
      <c r="AH111" s="239">
        <f t="shared" si="67"/>
        <v>57.01617414913715</v>
      </c>
      <c r="AI111" s="239">
        <f t="shared" si="68"/>
        <v>167.34530910420204</v>
      </c>
      <c r="AK111" s="122"/>
      <c r="AL111" s="258">
        <f>AL105</f>
        <v>0</v>
      </c>
      <c r="AM111" s="132">
        <f>AM105</f>
        <v>145.18382152751136</v>
      </c>
      <c r="AO111" s="104"/>
      <c r="AP111" s="104"/>
      <c r="AR111" s="225"/>
      <c r="AS111" s="226">
        <f>AS105</f>
        <v>5.5293537357719194</v>
      </c>
      <c r="AU111" s="104"/>
      <c r="AV111" s="104"/>
      <c r="AX111" s="225"/>
      <c r="AY111" s="132">
        <f>AY105</f>
        <v>716.22435574562166</v>
      </c>
      <c r="BA111" s="211"/>
      <c r="BB111" s="149">
        <f>BB105</f>
        <v>849.65999458437079</v>
      </c>
      <c r="BD111" s="225">
        <f t="shared" si="64"/>
        <v>12.779629720798821</v>
      </c>
      <c r="BE111" s="132">
        <f>BE105</f>
        <v>2.2809857031545309</v>
      </c>
      <c r="BF111" s="132">
        <f>BF105</f>
        <v>13.77061392887506</v>
      </c>
      <c r="BH111" s="104"/>
      <c r="BI111" s="104"/>
      <c r="BJ111" s="104"/>
      <c r="BL111" s="104"/>
      <c r="BM111" s="104"/>
    </row>
    <row r="112" spans="2:65" s="253" customFormat="1" x14ac:dyDescent="0.15">
      <c r="B112" s="366"/>
      <c r="C112" s="179">
        <v>42217</v>
      </c>
      <c r="D112" s="180">
        <v>530.09764367053913</v>
      </c>
      <c r="E112" s="193">
        <f t="shared" si="66"/>
        <v>468.45457048265399</v>
      </c>
      <c r="F112" s="194">
        <f t="shared" si="65"/>
        <v>1.6374048987448344E-2</v>
      </c>
      <c r="H112" s="144"/>
      <c r="I112" s="149">
        <f t="shared" si="69"/>
        <v>26.100824803501482</v>
      </c>
      <c r="L112" s="122"/>
      <c r="M112" s="132">
        <f>M105</f>
        <v>37.317619311145513</v>
      </c>
      <c r="O112" s="144"/>
      <c r="P112" s="149">
        <f>P105</f>
        <v>7940312.9093040237</v>
      </c>
      <c r="Q112" s="104"/>
      <c r="R112" s="104"/>
      <c r="S112" s="122"/>
      <c r="T112" s="132">
        <f>T105</f>
        <v>9392265.1207649279</v>
      </c>
      <c r="AB112" s="203"/>
      <c r="AC112" s="203">
        <f>AC105</f>
        <v>33.481611571304001</v>
      </c>
      <c r="AD112" s="104"/>
      <c r="AE112" s="220"/>
      <c r="AF112" s="220">
        <f>AF105</f>
        <v>13823390.408481047</v>
      </c>
      <c r="AH112" s="239">
        <f t="shared" si="67"/>
        <v>57.723247044424262</v>
      </c>
      <c r="AI112" s="239">
        <f t="shared" si="68"/>
        <v>169.42060324637865</v>
      </c>
      <c r="AK112" s="122"/>
      <c r="AL112" s="258">
        <f>AL105</f>
        <v>0</v>
      </c>
      <c r="AM112" s="132">
        <f>AM105</f>
        <v>145.18382152751136</v>
      </c>
      <c r="AO112" s="104"/>
      <c r="AP112" s="104"/>
      <c r="AR112" s="225"/>
      <c r="AS112" s="226">
        <f>AS105</f>
        <v>5.5293537357719194</v>
      </c>
      <c r="AU112" s="104"/>
      <c r="AV112" s="104"/>
      <c r="AX112" s="225"/>
      <c r="AY112" s="132">
        <f>AY105</f>
        <v>716.22435574562166</v>
      </c>
      <c r="BA112" s="211"/>
      <c r="BB112" s="149">
        <f>BB105</f>
        <v>849.65999458437079</v>
      </c>
      <c r="BD112" s="225">
        <f t="shared" si="64"/>
        <v>12.779629720798821</v>
      </c>
      <c r="BE112" s="132">
        <f>BE105</f>
        <v>2.2809857031545309</v>
      </c>
      <c r="BF112" s="132">
        <f>BF105</f>
        <v>13.77061392887506</v>
      </c>
      <c r="BH112" s="104"/>
      <c r="BI112" s="104"/>
      <c r="BJ112" s="104"/>
      <c r="BL112" s="104"/>
      <c r="BM112" s="104"/>
    </row>
    <row r="113" spans="2:65" s="253" customFormat="1" x14ac:dyDescent="0.15">
      <c r="B113" s="366"/>
      <c r="C113" s="179">
        <v>42248</v>
      </c>
      <c r="D113" s="180">
        <v>533.41428772915344</v>
      </c>
      <c r="E113" s="193">
        <f t="shared" si="66"/>
        <v>477.20763054809322</v>
      </c>
      <c r="F113" s="194">
        <f t="shared" si="65"/>
        <v>1.8684971002462102E-2</v>
      </c>
      <c r="H113" s="144"/>
      <c r="I113" s="149">
        <f t="shared" si="69"/>
        <v>26.100824803501482</v>
      </c>
      <c r="L113" s="122"/>
      <c r="M113" s="132">
        <f>M105</f>
        <v>37.317619311145513</v>
      </c>
      <c r="O113" s="144"/>
      <c r="P113" s="149">
        <f>P105</f>
        <v>7940312.9093040237</v>
      </c>
      <c r="Q113" s="104"/>
      <c r="R113" s="104"/>
      <c r="S113" s="122"/>
      <c r="T113" s="132">
        <f>T105</f>
        <v>9392265.1207649279</v>
      </c>
      <c r="AB113" s="203"/>
      <c r="AC113" s="203">
        <f>AC105</f>
        <v>33.481611571304001</v>
      </c>
      <c r="AD113" s="104"/>
      <c r="AE113" s="220"/>
      <c r="AF113" s="220">
        <f>AF105</f>
        <v>13823390.408481047</v>
      </c>
      <c r="AH113" s="239">
        <f t="shared" si="67"/>
        <v>58.668410319244252</v>
      </c>
      <c r="AI113" s="239">
        <f t="shared" si="68"/>
        <v>172.19470450341791</v>
      </c>
      <c r="AK113" s="122"/>
      <c r="AL113" s="258">
        <f>AL105</f>
        <v>0</v>
      </c>
      <c r="AM113" s="132">
        <f>AM105</f>
        <v>145.18382152751136</v>
      </c>
      <c r="AO113" s="104"/>
      <c r="AP113" s="104"/>
      <c r="AR113" s="225"/>
      <c r="AS113" s="226">
        <f>AS105</f>
        <v>5.5293537357719194</v>
      </c>
      <c r="AU113" s="104"/>
      <c r="AV113" s="104"/>
      <c r="AX113" s="225"/>
      <c r="AY113" s="132">
        <f>AY105</f>
        <v>716.22435574562166</v>
      </c>
      <c r="BA113" s="211"/>
      <c r="BB113" s="149">
        <f>BB105</f>
        <v>849.65999458437079</v>
      </c>
      <c r="BD113" s="225">
        <f t="shared" si="64"/>
        <v>12.779629720798821</v>
      </c>
      <c r="BE113" s="132">
        <f>BE105</f>
        <v>2.2809857031545309</v>
      </c>
      <c r="BF113" s="132">
        <f>BF105</f>
        <v>13.77061392887506</v>
      </c>
      <c r="BH113" s="104"/>
      <c r="BI113" s="104"/>
      <c r="BJ113" s="104"/>
      <c r="BL113" s="104"/>
      <c r="BM113" s="104"/>
    </row>
    <row r="114" spans="2:65" s="253" customFormat="1" x14ac:dyDescent="0.15">
      <c r="B114" s="366"/>
      <c r="C114" s="179">
        <v>42278</v>
      </c>
      <c r="D114" s="180">
        <v>520.70296174626071</v>
      </c>
      <c r="E114" s="193">
        <f t="shared" si="66"/>
        <v>485.41780159518936</v>
      </c>
      <c r="F114" s="194">
        <f t="shared" si="65"/>
        <v>1.7204609736995214E-2</v>
      </c>
      <c r="H114" s="144"/>
      <c r="I114" s="149">
        <f t="shared" si="69"/>
        <v>26.100824803501482</v>
      </c>
      <c r="L114" s="122"/>
      <c r="M114" s="132">
        <f>M105</f>
        <v>37.317619311145513</v>
      </c>
      <c r="O114" s="144"/>
      <c r="P114" s="149">
        <f>P105</f>
        <v>7940312.9093040237</v>
      </c>
      <c r="Q114" s="104"/>
      <c r="R114" s="104"/>
      <c r="S114" s="122"/>
      <c r="T114" s="132">
        <f>T105</f>
        <v>9392265.1207649279</v>
      </c>
      <c r="AB114" s="203"/>
      <c r="AC114" s="203">
        <f>AC105</f>
        <v>33.481611571304001</v>
      </c>
      <c r="AD114" s="104"/>
      <c r="AE114" s="220"/>
      <c r="AF114" s="220">
        <f>AF105</f>
        <v>13823390.408481047</v>
      </c>
      <c r="AH114" s="239">
        <f t="shared" si="67"/>
        <v>59.764627864819879</v>
      </c>
      <c r="AI114" s="239">
        <f t="shared" si="68"/>
        <v>175.41215756384182</v>
      </c>
      <c r="AK114" s="122"/>
      <c r="AL114" s="258">
        <f>AL105</f>
        <v>0</v>
      </c>
      <c r="AM114" s="132">
        <f>AM105</f>
        <v>145.18382152751136</v>
      </c>
      <c r="AO114" s="104"/>
      <c r="AP114" s="104"/>
      <c r="AR114" s="225"/>
      <c r="AS114" s="226">
        <f>AS105</f>
        <v>5.5293537357719194</v>
      </c>
      <c r="AU114" s="104"/>
      <c r="AV114" s="104"/>
      <c r="AX114" s="225"/>
      <c r="AY114" s="132">
        <f>AY105</f>
        <v>716.22435574562166</v>
      </c>
      <c r="BA114" s="211"/>
      <c r="BB114" s="149">
        <f>BB105</f>
        <v>849.65999458437079</v>
      </c>
      <c r="BD114" s="225">
        <f t="shared" si="64"/>
        <v>12.779629720798821</v>
      </c>
      <c r="BE114" s="132">
        <f>BE105</f>
        <v>2.2809857031545309</v>
      </c>
      <c r="BF114" s="132">
        <f>BF105</f>
        <v>13.77061392887506</v>
      </c>
      <c r="BH114" s="104"/>
      <c r="BI114" s="104"/>
      <c r="BJ114" s="104"/>
      <c r="BL114" s="104"/>
      <c r="BM114" s="104"/>
    </row>
    <row r="115" spans="2:65" s="253" customFormat="1" x14ac:dyDescent="0.15">
      <c r="B115" s="366"/>
      <c r="C115" s="179">
        <v>42309</v>
      </c>
      <c r="D115" s="180">
        <v>533.72118416138119</v>
      </c>
      <c r="E115" s="193">
        <f t="shared" si="66"/>
        <v>492.3014516206029</v>
      </c>
      <c r="F115" s="194">
        <f t="shared" si="65"/>
        <v>1.4180876767997301E-2</v>
      </c>
      <c r="H115" s="144"/>
      <c r="I115" s="149">
        <f t="shared" si="69"/>
        <v>26.100824803501482</v>
      </c>
      <c r="L115" s="122"/>
      <c r="M115" s="132">
        <f>M105</f>
        <v>37.317619311145513</v>
      </c>
      <c r="O115" s="144"/>
      <c r="P115" s="149">
        <f>P105</f>
        <v>7940312.9093040237</v>
      </c>
      <c r="Q115" s="104"/>
      <c r="R115" s="104"/>
      <c r="S115" s="122"/>
      <c r="T115" s="132">
        <f>T105</f>
        <v>9392265.1207649279</v>
      </c>
      <c r="AB115" s="203"/>
      <c r="AC115" s="203">
        <f>AC105</f>
        <v>33.481611571304001</v>
      </c>
      <c r="AD115" s="104"/>
      <c r="AE115" s="220"/>
      <c r="AF115" s="220">
        <f>AF105</f>
        <v>13823390.408481047</v>
      </c>
      <c r="AH115" s="239">
        <f t="shared" si="67"/>
        <v>60.792854963310852</v>
      </c>
      <c r="AI115" s="239">
        <f t="shared" si="68"/>
        <v>178.43005527785201</v>
      </c>
      <c r="AK115" s="122"/>
      <c r="AL115" s="258">
        <f>AL105</f>
        <v>0</v>
      </c>
      <c r="AM115" s="132">
        <f>AM105</f>
        <v>145.18382152751136</v>
      </c>
      <c r="AO115" s="104"/>
      <c r="AP115" s="104"/>
      <c r="AR115" s="225"/>
      <c r="AS115" s="226">
        <f>AS105</f>
        <v>5.5293537357719194</v>
      </c>
      <c r="AU115" s="104"/>
      <c r="AV115" s="104"/>
      <c r="AX115" s="225"/>
      <c r="AY115" s="132">
        <f>AY105</f>
        <v>716.22435574562166</v>
      </c>
      <c r="BA115" s="211"/>
      <c r="BB115" s="149">
        <f>BB105</f>
        <v>849.65999458437079</v>
      </c>
      <c r="BD115" s="225">
        <f t="shared" si="64"/>
        <v>12.779629720798821</v>
      </c>
      <c r="BE115" s="132">
        <f>BE105</f>
        <v>2.2809857031545309</v>
      </c>
      <c r="BF115" s="132">
        <f>BF105</f>
        <v>13.77061392887506</v>
      </c>
      <c r="BH115" s="104"/>
      <c r="BI115" s="104"/>
      <c r="BJ115" s="104"/>
      <c r="BL115" s="104"/>
      <c r="BM115" s="104"/>
    </row>
    <row r="116" spans="2:65" s="253" customFormat="1" ht="11.25" thickBot="1" x14ac:dyDescent="0.2">
      <c r="B116" s="367"/>
      <c r="C116" s="183">
        <v>42339</v>
      </c>
      <c r="D116" s="190">
        <v>540.10998685281947</v>
      </c>
      <c r="E116" s="191">
        <f t="shared" si="66"/>
        <v>499.25044809572711</v>
      </c>
      <c r="F116" s="192">
        <f t="shared" si="65"/>
        <v>1.4115328021578775E-2</v>
      </c>
      <c r="H116" s="151"/>
      <c r="I116" s="152">
        <f t="shared" si="69"/>
        <v>26.100824803501482</v>
      </c>
      <c r="L116" s="139"/>
      <c r="M116" s="134">
        <f>M105</f>
        <v>37.317619311145513</v>
      </c>
      <c r="O116" s="151"/>
      <c r="P116" s="152">
        <f>P105</f>
        <v>7940312.9093040237</v>
      </c>
      <c r="Q116" s="104"/>
      <c r="R116" s="104"/>
      <c r="S116" s="139"/>
      <c r="T116" s="134">
        <f>T105</f>
        <v>9392265.1207649279</v>
      </c>
      <c r="AB116" s="205"/>
      <c r="AC116" s="205">
        <f>AC105</f>
        <v>33.481611571304001</v>
      </c>
      <c r="AD116" s="104"/>
      <c r="AE116" s="221"/>
      <c r="AF116" s="221">
        <f>AF105</f>
        <v>13823390.408481047</v>
      </c>
      <c r="AH116" s="239">
        <f t="shared" si="67"/>
        <v>61.654950947920305</v>
      </c>
      <c r="AI116" s="239">
        <f t="shared" si="68"/>
        <v>180.96034990345419</v>
      </c>
      <c r="AK116" s="139"/>
      <c r="AL116" s="279">
        <f>AL105</f>
        <v>0</v>
      </c>
      <c r="AM116" s="134">
        <f>AM105</f>
        <v>145.18382152751136</v>
      </c>
      <c r="AO116" s="104"/>
      <c r="AP116" s="104"/>
      <c r="AR116" s="282"/>
      <c r="AS116" s="229">
        <f>AS105</f>
        <v>5.5293537357719194</v>
      </c>
      <c r="AU116" s="104"/>
      <c r="AV116" s="104"/>
      <c r="AX116" s="282"/>
      <c r="AY116" s="136">
        <f>AY105</f>
        <v>716.22435574562166</v>
      </c>
      <c r="BA116" s="284"/>
      <c r="BB116" s="147">
        <f>BB105</f>
        <v>849.65999458437079</v>
      </c>
      <c r="BD116" s="227">
        <f t="shared" si="64"/>
        <v>12.779629720798821</v>
      </c>
      <c r="BE116" s="134">
        <f>BE105</f>
        <v>2.2809857031545309</v>
      </c>
      <c r="BF116" s="134">
        <f>BF105</f>
        <v>13.77061392887506</v>
      </c>
      <c r="BH116" s="104"/>
      <c r="BI116" s="104"/>
      <c r="BJ116" s="104"/>
      <c r="BL116" s="104"/>
      <c r="BM116" s="104"/>
    </row>
    <row r="117" spans="2:65" s="253" customFormat="1" x14ac:dyDescent="0.15">
      <c r="B117" s="365">
        <v>2016</v>
      </c>
      <c r="C117" s="175">
        <v>42370</v>
      </c>
      <c r="D117" s="198">
        <v>560.43393746624088</v>
      </c>
      <c r="E117" s="193">
        <f>AVERAGE(D105:D116)</f>
        <v>505.39799308825258</v>
      </c>
      <c r="F117" s="194">
        <f t="shared" si="65"/>
        <v>1.2313549273663802E-2</v>
      </c>
      <c r="H117" s="142"/>
      <c r="I117" s="153">
        <f>(1+(($E$116-$E$14)/$E$14))*$H$20*0.98</f>
        <v>30.381270545902421</v>
      </c>
      <c r="L117" s="120"/>
      <c r="M117" s="137">
        <f>(1+((E116-$E$14)/$E$14))*L$20*0.98</f>
        <v>43.437580879390779</v>
      </c>
      <c r="O117" s="142"/>
      <c r="P117" s="153">
        <f>(1+((E116-$E$14)/$E$14))*O$20*0.98</f>
        <v>9242496.9912952594</v>
      </c>
      <c r="Q117" s="104"/>
      <c r="R117" s="104"/>
      <c r="S117" s="120"/>
      <c r="T117" s="137">
        <f>(1+((E116-$E$14)/$E$14))*S$20*0.98</f>
        <v>10932564.385265021</v>
      </c>
      <c r="AB117" s="206">
        <v>19.010000000000002</v>
      </c>
      <c r="AC117" s="207">
        <f>AB117*0.98*(1+((E116-$E$93)/$E$93))</f>
        <v>22.532447212156878</v>
      </c>
      <c r="AD117" s="104"/>
      <c r="AE117" s="217">
        <v>7616514.5300000003</v>
      </c>
      <c r="AF117" s="217">
        <f>AE117*0.98*(1+((E116-$E$93)/$E$93))</f>
        <v>9027812.2876302395</v>
      </c>
      <c r="AH117" s="249">
        <f>AH116*(1+F116)*0.98</f>
        <v>61.274726188610451</v>
      </c>
      <c r="AI117" s="250">
        <f>AI116*(1+F116)*0.98</f>
        <v>179.84437130921626</v>
      </c>
      <c r="AK117" s="120"/>
      <c r="AL117" s="277">
        <v>0</v>
      </c>
      <c r="AM117" s="280">
        <f>AL$20*0.98*(1+((E116-$E$14)/$E$14))</f>
        <v>168.99347028005056</v>
      </c>
      <c r="AO117" s="405"/>
      <c r="AP117" s="406"/>
      <c r="AR117" s="223">
        <v>3.18</v>
      </c>
      <c r="AS117" s="224">
        <f>AR117*0.98*(1+((E116-$E$93)/$E$93))</f>
        <v>3.7692363037695356</v>
      </c>
      <c r="AU117" s="104"/>
      <c r="AV117" s="104"/>
      <c r="AX117" s="223"/>
      <c r="AY117" s="281">
        <f>(AY105)*0.98*(1+((E116-$E$57)/$E$57))</f>
        <v>877.0299855383214</v>
      </c>
      <c r="BA117" s="210"/>
      <c r="BB117" s="283">
        <f>(BB105)*0.98*(1+((E116-$E$57)/$E$57))</f>
        <v>1040.4243960498354</v>
      </c>
      <c r="BD117" s="288">
        <f>12.55*0.98*(1+((E116-$E$93)/$E$93))</f>
        <v>14.875445161103043</v>
      </c>
      <c r="BE117" s="289">
        <f>2.24*0.98*(1+((E116-$E$93)/$E$93))</f>
        <v>2.6550595347307424</v>
      </c>
      <c r="BF117" s="281">
        <f>13.09*0.98*(1+((E116-$E$57)/$E$57))</f>
        <v>16.028947380245253</v>
      </c>
      <c r="BH117" s="104"/>
      <c r="BI117" s="104"/>
      <c r="BJ117" s="104"/>
      <c r="BL117" s="104"/>
      <c r="BM117" s="104"/>
    </row>
    <row r="118" spans="2:65" s="253" customFormat="1" x14ac:dyDescent="0.15">
      <c r="B118" s="366"/>
      <c r="C118" s="179">
        <v>42401</v>
      </c>
      <c r="D118" s="197">
        <v>563.16107640170344</v>
      </c>
      <c r="E118" s="193">
        <f t="shared" si="66"/>
        <v>512.33498787710596</v>
      </c>
      <c r="F118" s="194">
        <f>(E118-E117)/E117</f>
        <v>1.3725805966233913E-2</v>
      </c>
      <c r="H118" s="144"/>
      <c r="I118" s="149">
        <f>+I117</f>
        <v>30.381270545902421</v>
      </c>
      <c r="L118" s="122"/>
      <c r="M118" s="132">
        <f>+M117</f>
        <v>43.437580879390779</v>
      </c>
      <c r="O118" s="144"/>
      <c r="P118" s="149">
        <f>+P117</f>
        <v>9242496.9912952594</v>
      </c>
      <c r="Q118" s="104"/>
      <c r="R118" s="104"/>
      <c r="S118" s="122"/>
      <c r="T118" s="132">
        <f>+T117</f>
        <v>10932564.385265021</v>
      </c>
      <c r="AB118" s="203"/>
      <c r="AC118" s="208">
        <f>+AC117</f>
        <v>22.532447212156878</v>
      </c>
      <c r="AD118" s="104"/>
      <c r="AE118" s="220"/>
      <c r="AF118" s="220">
        <f>+AF117</f>
        <v>9027812.2876302395</v>
      </c>
      <c r="AH118" s="239">
        <f t="shared" ref="AH118:AH128" si="70">AH117*(1+F117)</f>
        <v>62.02923554876417</v>
      </c>
      <c r="AI118" s="251">
        <f t="shared" ref="AI118:AI128" si="71">AI117*(1+F117)</f>
        <v>182.0588938369234</v>
      </c>
      <c r="AK118" s="122"/>
      <c r="AL118" s="258">
        <f>AL117</f>
        <v>0</v>
      </c>
      <c r="AM118" s="132">
        <f>+AM117</f>
        <v>168.99347028005056</v>
      </c>
      <c r="AO118" s="363"/>
      <c r="AP118" s="364"/>
      <c r="AR118" s="225"/>
      <c r="AS118" s="226">
        <f>+AS117</f>
        <v>3.7692363037695356</v>
      </c>
      <c r="AU118" s="104"/>
      <c r="AV118" s="104"/>
      <c r="AX118" s="225"/>
      <c r="AY118" s="132">
        <f>+AY117</f>
        <v>877.0299855383214</v>
      </c>
      <c r="BA118" s="211"/>
      <c r="BB118" s="149">
        <f>+BB117</f>
        <v>1040.4243960498354</v>
      </c>
      <c r="BD118" s="220">
        <f>+BD117</f>
        <v>14.875445161103043</v>
      </c>
      <c r="BE118" s="290">
        <f t="shared" ref="BE118:BF118" si="72">+BE117</f>
        <v>2.6550595347307424</v>
      </c>
      <c r="BF118" s="132">
        <f t="shared" si="72"/>
        <v>16.028947380245253</v>
      </c>
      <c r="BH118" s="104"/>
      <c r="BI118" s="104"/>
      <c r="BJ118" s="104"/>
      <c r="BL118" s="104"/>
      <c r="BM118" s="104"/>
    </row>
    <row r="119" spans="2:65" s="253" customFormat="1" x14ac:dyDescent="0.15">
      <c r="B119" s="366"/>
      <c r="C119" s="179">
        <v>42430</v>
      </c>
      <c r="D119" s="180">
        <v>543.54690239406659</v>
      </c>
      <c r="E119" s="193">
        <f t="shared" si="66"/>
        <v>519.1673867136675</v>
      </c>
      <c r="F119" s="194">
        <f>(E119-E118)/E118</f>
        <v>1.3335803718719339E-2</v>
      </c>
      <c r="H119" s="144"/>
      <c r="I119" s="149">
        <f t="shared" ref="I119:I128" si="73">+I118</f>
        <v>30.381270545902421</v>
      </c>
      <c r="L119" s="122"/>
      <c r="M119" s="132">
        <f t="shared" ref="M119:M128" si="74">+M118</f>
        <v>43.437580879390779</v>
      </c>
      <c r="O119" s="144"/>
      <c r="P119" s="149">
        <f t="shared" ref="P119:P128" si="75">+P118</f>
        <v>9242496.9912952594</v>
      </c>
      <c r="Q119" s="104"/>
      <c r="R119" s="104"/>
      <c r="S119" s="122"/>
      <c r="T119" s="132">
        <f t="shared" ref="T119:T128" si="76">+T118</f>
        <v>10932564.385265021</v>
      </c>
      <c r="AB119" s="203"/>
      <c r="AC119" s="208">
        <f t="shared" ref="AC119:AC128" si="77">+AC118</f>
        <v>22.532447212156878</v>
      </c>
      <c r="AD119" s="104"/>
      <c r="AE119" s="220"/>
      <c r="AF119" s="220">
        <f t="shared" ref="AF119:AF128" si="78">+AF118</f>
        <v>9027812.2876302395</v>
      </c>
      <c r="AH119" s="239">
        <f t="shared" si="70"/>
        <v>62.88063680014033</v>
      </c>
      <c r="AI119" s="251">
        <f t="shared" si="71"/>
        <v>184.55779888815621</v>
      </c>
      <c r="AK119" s="122"/>
      <c r="AL119" s="258">
        <f>AL117</f>
        <v>0</v>
      </c>
      <c r="AM119" s="132">
        <f t="shared" ref="AM119:AM128" si="79">+AM118</f>
        <v>168.99347028005056</v>
      </c>
      <c r="AO119" s="363"/>
      <c r="AP119" s="364"/>
      <c r="AR119" s="225"/>
      <c r="AS119" s="226">
        <f t="shared" ref="AS119:AS128" si="80">+AS118</f>
        <v>3.7692363037695356</v>
      </c>
      <c r="AU119" s="104"/>
      <c r="AV119" s="104"/>
      <c r="AX119" s="225"/>
      <c r="AY119" s="132">
        <f t="shared" ref="AY119:AY128" si="81">+AY118</f>
        <v>877.0299855383214</v>
      </c>
      <c r="BA119" s="211"/>
      <c r="BB119" s="149">
        <f t="shared" ref="BB119:BB128" si="82">+BB118</f>
        <v>1040.4243960498354</v>
      </c>
      <c r="BD119" s="220">
        <f t="shared" ref="BD119:BD128" si="83">+BD118</f>
        <v>14.875445161103043</v>
      </c>
      <c r="BE119" s="290">
        <f t="shared" ref="BE119:BE128" si="84">+BE118</f>
        <v>2.6550595347307424</v>
      </c>
      <c r="BF119" s="132">
        <f t="shared" ref="BF119:BF128" si="85">+BF118</f>
        <v>16.028947380245253</v>
      </c>
      <c r="BH119" s="104"/>
      <c r="BI119" s="104"/>
      <c r="BJ119" s="104"/>
      <c r="BL119" s="104"/>
      <c r="BM119" s="104"/>
    </row>
    <row r="120" spans="2:65" s="253" customFormat="1" x14ac:dyDescent="0.15">
      <c r="B120" s="366"/>
      <c r="C120" s="179">
        <v>42461</v>
      </c>
      <c r="D120" s="180">
        <v>531.02765144543889</v>
      </c>
      <c r="E120" s="193">
        <f t="shared" si="66"/>
        <v>523.64409207016968</v>
      </c>
      <c r="F120" s="194">
        <f>(E120-E119)/E119</f>
        <v>8.6228555010740369E-3</v>
      </c>
      <c r="H120" s="144"/>
      <c r="I120" s="149">
        <f t="shared" si="73"/>
        <v>30.381270545902421</v>
      </c>
      <c r="L120" s="122"/>
      <c r="M120" s="132">
        <f t="shared" si="74"/>
        <v>43.437580879390779</v>
      </c>
      <c r="O120" s="144"/>
      <c r="P120" s="149">
        <f t="shared" si="75"/>
        <v>9242496.9912952594</v>
      </c>
      <c r="Q120" s="104"/>
      <c r="R120" s="104"/>
      <c r="S120" s="122"/>
      <c r="T120" s="132">
        <f t="shared" si="76"/>
        <v>10932564.385265021</v>
      </c>
      <c r="AB120" s="203"/>
      <c r="AC120" s="208">
        <f t="shared" si="77"/>
        <v>22.532447212156878</v>
      </c>
      <c r="AD120" s="104"/>
      <c r="AE120" s="220"/>
      <c r="AF120" s="220">
        <f t="shared" si="78"/>
        <v>9027812.2876302395</v>
      </c>
      <c r="AH120" s="239">
        <f t="shared" si="70"/>
        <v>63.719200630215077</v>
      </c>
      <c r="AI120" s="251">
        <f t="shared" si="71"/>
        <v>187.01902546888752</v>
      </c>
      <c r="AK120" s="122"/>
      <c r="AL120" s="258">
        <f>AL117</f>
        <v>0</v>
      </c>
      <c r="AM120" s="132">
        <f t="shared" si="79"/>
        <v>168.99347028005056</v>
      </c>
      <c r="AO120" s="407">
        <f>+(AC120+((AY120/1.16)/66.17)+M120)</f>
        <v>77.396056992267347</v>
      </c>
      <c r="AP120" s="408"/>
      <c r="AR120" s="225"/>
      <c r="AS120" s="226">
        <f t="shared" si="80"/>
        <v>3.7692363037695356</v>
      </c>
      <c r="AU120" s="104"/>
      <c r="AV120" s="104"/>
      <c r="AX120" s="225"/>
      <c r="AY120" s="132">
        <f t="shared" si="81"/>
        <v>877.0299855383214</v>
      </c>
      <c r="BA120" s="211"/>
      <c r="BB120" s="149">
        <f t="shared" si="82"/>
        <v>1040.4243960498354</v>
      </c>
      <c r="BD120" s="220">
        <f t="shared" si="83"/>
        <v>14.875445161103043</v>
      </c>
      <c r="BE120" s="290">
        <f t="shared" si="84"/>
        <v>2.6550595347307424</v>
      </c>
      <c r="BF120" s="132">
        <f t="shared" si="85"/>
        <v>16.028947380245253</v>
      </c>
      <c r="BH120" s="104"/>
      <c r="BI120" s="104"/>
      <c r="BJ120" s="104"/>
      <c r="BL120" s="104"/>
      <c r="BM120" s="104"/>
    </row>
    <row r="121" spans="2:65" s="253" customFormat="1" x14ac:dyDescent="0.15">
      <c r="B121" s="366"/>
      <c r="C121" s="179">
        <v>42491</v>
      </c>
      <c r="D121" s="180">
        <v>547.17815554776359</v>
      </c>
      <c r="E121" s="193">
        <f>AVERAGE(D109:D120)</f>
        <v>528.36305506409894</v>
      </c>
      <c r="F121" s="194">
        <f>(E121-E120)/E120</f>
        <v>9.0117754890986414E-3</v>
      </c>
      <c r="H121" s="144"/>
      <c r="I121" s="149">
        <f t="shared" si="73"/>
        <v>30.381270545902421</v>
      </c>
      <c r="L121" s="122"/>
      <c r="M121" s="132">
        <f t="shared" si="74"/>
        <v>43.437580879390779</v>
      </c>
      <c r="O121" s="144"/>
      <c r="P121" s="149">
        <f t="shared" si="75"/>
        <v>9242496.9912952594</v>
      </c>
      <c r="Q121" s="104"/>
      <c r="R121" s="104"/>
      <c r="S121" s="122"/>
      <c r="T121" s="132">
        <f t="shared" si="76"/>
        <v>10932564.385265021</v>
      </c>
      <c r="AB121" s="202"/>
      <c r="AC121" s="208">
        <f t="shared" si="77"/>
        <v>22.532447212156878</v>
      </c>
      <c r="AD121" s="104"/>
      <c r="AE121" s="219"/>
      <c r="AF121" s="220">
        <f t="shared" si="78"/>
        <v>9027812.2876302395</v>
      </c>
      <c r="AH121" s="239">
        <f t="shared" si="70"/>
        <v>64.268642089893376</v>
      </c>
      <c r="AI121" s="251">
        <f t="shared" si="71"/>
        <v>188.63166350145744</v>
      </c>
      <c r="AK121" s="122"/>
      <c r="AL121" s="258">
        <f>AL117</f>
        <v>0</v>
      </c>
      <c r="AM121" s="132">
        <f t="shared" si="79"/>
        <v>168.99347028005056</v>
      </c>
      <c r="AO121" s="359">
        <f>+(AC121+((AY121/1.16)/66.17)+M121)</f>
        <v>77.396056992267347</v>
      </c>
      <c r="AP121" s="360"/>
      <c r="AR121" s="225"/>
      <c r="AS121" s="226">
        <f t="shared" si="80"/>
        <v>3.7692363037695356</v>
      </c>
      <c r="AU121" s="104"/>
      <c r="AV121" s="104"/>
      <c r="AX121" s="225"/>
      <c r="AY121" s="132">
        <f t="shared" si="81"/>
        <v>877.0299855383214</v>
      </c>
      <c r="BA121" s="211"/>
      <c r="BB121" s="149">
        <f t="shared" si="82"/>
        <v>1040.4243960498354</v>
      </c>
      <c r="BD121" s="220">
        <f t="shared" si="83"/>
        <v>14.875445161103043</v>
      </c>
      <c r="BE121" s="290">
        <f t="shared" si="84"/>
        <v>2.6550595347307424</v>
      </c>
      <c r="BF121" s="132">
        <f t="shared" si="85"/>
        <v>16.028947380245253</v>
      </c>
      <c r="BH121" s="104"/>
      <c r="BI121" s="104"/>
      <c r="BJ121" s="104"/>
      <c r="BL121" s="104"/>
      <c r="BM121" s="104"/>
    </row>
    <row r="122" spans="2:65" s="253" customFormat="1" x14ac:dyDescent="0.15">
      <c r="B122" s="366"/>
      <c r="C122" s="179">
        <v>42522</v>
      </c>
      <c r="D122" s="180">
        <v>537.69280053995396</v>
      </c>
      <c r="E122" s="193">
        <f>AVERAGE(D110:D121)</f>
        <v>533.61700175563442</v>
      </c>
      <c r="F122" s="194">
        <f>(E122-E121)/E121</f>
        <v>9.9438192000348823E-3</v>
      </c>
      <c r="H122" s="144"/>
      <c r="I122" s="149">
        <f t="shared" si="73"/>
        <v>30.381270545902421</v>
      </c>
      <c r="L122" s="122"/>
      <c r="M122" s="132">
        <f t="shared" si="74"/>
        <v>43.437580879390779</v>
      </c>
      <c r="O122" s="144"/>
      <c r="P122" s="149">
        <f t="shared" si="75"/>
        <v>9242496.9912952594</v>
      </c>
      <c r="Q122" s="104"/>
      <c r="R122" s="104"/>
      <c r="S122" s="122"/>
      <c r="T122" s="132">
        <f t="shared" si="76"/>
        <v>10932564.385265021</v>
      </c>
      <c r="AB122" s="203"/>
      <c r="AC122" s="208">
        <f t="shared" si="77"/>
        <v>22.532447212156878</v>
      </c>
      <c r="AD122" s="104"/>
      <c r="AE122" s="220"/>
      <c r="AF122" s="220">
        <f t="shared" si="78"/>
        <v>9027812.2876302395</v>
      </c>
      <c r="AH122" s="239">
        <f t="shared" si="70"/>
        <v>64.847816663396728</v>
      </c>
      <c r="AI122" s="251">
        <f t="shared" si="71"/>
        <v>190.33156970306777</v>
      </c>
      <c r="AK122" s="122"/>
      <c r="AL122" s="258">
        <f>AL117</f>
        <v>0</v>
      </c>
      <c r="AM122" s="132">
        <f t="shared" si="79"/>
        <v>168.99347028005056</v>
      </c>
      <c r="AO122" s="359">
        <f>+(AC122+((AY122/1.16)/66.17)+M122)</f>
        <v>77.396056992267347</v>
      </c>
      <c r="AP122" s="360"/>
      <c r="AR122" s="225"/>
      <c r="AS122" s="226">
        <f t="shared" si="80"/>
        <v>3.7692363037695356</v>
      </c>
      <c r="AU122" s="104"/>
      <c r="AV122" s="104"/>
      <c r="AX122" s="225"/>
      <c r="AY122" s="132">
        <f t="shared" si="81"/>
        <v>877.0299855383214</v>
      </c>
      <c r="BA122" s="211"/>
      <c r="BB122" s="149">
        <f t="shared" si="82"/>
        <v>1040.4243960498354</v>
      </c>
      <c r="BD122" s="220">
        <f t="shared" si="83"/>
        <v>14.875445161103043</v>
      </c>
      <c r="BE122" s="290">
        <f t="shared" si="84"/>
        <v>2.6550595347307424</v>
      </c>
      <c r="BF122" s="132">
        <f t="shared" si="85"/>
        <v>16.028947380245253</v>
      </c>
      <c r="BH122" s="104"/>
      <c r="BI122" s="104"/>
      <c r="BJ122" s="104"/>
      <c r="BL122" s="104"/>
      <c r="BM122" s="104"/>
    </row>
    <row r="123" spans="2:65" s="253" customFormat="1" x14ac:dyDescent="0.15">
      <c r="B123" s="366"/>
      <c r="C123" s="179">
        <v>42552</v>
      </c>
      <c r="D123" s="180">
        <v>548.85124558812311</v>
      </c>
      <c r="E123" s="193">
        <f t="shared" ref="E123:E125" si="86">AVERAGE(D111:D122)</f>
        <v>537.65322066438705</v>
      </c>
      <c r="F123" s="194">
        <f t="shared" ref="F123:F125" si="87">(E123-E122)/E122</f>
        <v>7.5638873864086213E-3</v>
      </c>
      <c r="H123" s="144"/>
      <c r="I123" s="149">
        <f t="shared" si="73"/>
        <v>30.381270545902421</v>
      </c>
      <c r="L123" s="122"/>
      <c r="M123" s="132">
        <f t="shared" si="74"/>
        <v>43.437580879390779</v>
      </c>
      <c r="O123" s="144"/>
      <c r="P123" s="149">
        <f t="shared" si="75"/>
        <v>9242496.9912952594</v>
      </c>
      <c r="Q123" s="104"/>
      <c r="R123" s="104"/>
      <c r="S123" s="122"/>
      <c r="T123" s="132">
        <f t="shared" si="76"/>
        <v>10932564.385265021</v>
      </c>
      <c r="AB123" s="203"/>
      <c r="AC123" s="208">
        <f t="shared" si="77"/>
        <v>22.532447212156878</v>
      </c>
      <c r="AD123" s="104"/>
      <c r="AE123" s="220"/>
      <c r="AF123" s="220">
        <f t="shared" si="78"/>
        <v>9027812.2876302395</v>
      </c>
      <c r="AH123" s="239">
        <f t="shared" si="70"/>
        <v>65.492651627814553</v>
      </c>
      <c r="AI123" s="251">
        <f t="shared" si="71"/>
        <v>192.22419242025393</v>
      </c>
      <c r="AK123" s="122"/>
      <c r="AL123" s="258">
        <f>AL117</f>
        <v>0</v>
      </c>
      <c r="AM123" s="132">
        <f t="shared" si="79"/>
        <v>168.99347028005056</v>
      </c>
      <c r="AO123" s="359">
        <f>+(AC123+((AY123/1.16)/66.17)+M123)</f>
        <v>77.396056992267347</v>
      </c>
      <c r="AP123" s="360"/>
      <c r="AR123" s="225"/>
      <c r="AS123" s="226">
        <f t="shared" si="80"/>
        <v>3.7692363037695356</v>
      </c>
      <c r="AU123" s="104"/>
      <c r="AV123" s="104"/>
      <c r="AX123" s="225"/>
      <c r="AY123" s="132">
        <f t="shared" si="81"/>
        <v>877.0299855383214</v>
      </c>
      <c r="BA123" s="211"/>
      <c r="BB123" s="149">
        <f t="shared" si="82"/>
        <v>1040.4243960498354</v>
      </c>
      <c r="BD123" s="220">
        <f t="shared" si="83"/>
        <v>14.875445161103043</v>
      </c>
      <c r="BE123" s="290">
        <f t="shared" si="84"/>
        <v>2.6550595347307424</v>
      </c>
      <c r="BF123" s="132">
        <f t="shared" si="85"/>
        <v>16.028947380245253</v>
      </c>
      <c r="BH123" s="104"/>
      <c r="BI123" s="104"/>
      <c r="BJ123" s="104"/>
      <c r="BL123" s="104"/>
      <c r="BM123" s="104"/>
    </row>
    <row r="124" spans="2:65" s="253" customFormat="1" x14ac:dyDescent="0.15">
      <c r="B124" s="366"/>
      <c r="C124" s="179">
        <v>42583</v>
      </c>
      <c r="D124" s="180">
        <v>536.76190878716181</v>
      </c>
      <c r="E124" s="193">
        <f t="shared" si="86"/>
        <v>540.82815279528711</v>
      </c>
      <c r="F124" s="194">
        <f>(E124-E123)/E123</f>
        <v>5.9051671391026801E-3</v>
      </c>
      <c r="H124" s="144"/>
      <c r="I124" s="149">
        <f t="shared" si="73"/>
        <v>30.381270545902421</v>
      </c>
      <c r="L124" s="122"/>
      <c r="M124" s="132">
        <f t="shared" si="74"/>
        <v>43.437580879390779</v>
      </c>
      <c r="O124" s="144"/>
      <c r="P124" s="149">
        <f t="shared" si="75"/>
        <v>9242496.9912952594</v>
      </c>
      <c r="Q124" s="104"/>
      <c r="R124" s="104"/>
      <c r="S124" s="122"/>
      <c r="T124" s="132">
        <f t="shared" si="76"/>
        <v>10932564.385265021</v>
      </c>
      <c r="AB124" s="203"/>
      <c r="AC124" s="208">
        <f t="shared" si="77"/>
        <v>22.532447212156878</v>
      </c>
      <c r="AD124" s="104"/>
      <c r="AE124" s="220"/>
      <c r="AF124" s="220">
        <f t="shared" si="78"/>
        <v>9027812.2876302395</v>
      </c>
      <c r="AH124" s="239">
        <f t="shared" si="70"/>
        <v>65.988030669364633</v>
      </c>
      <c r="AI124" s="251">
        <f t="shared" si="71"/>
        <v>193.67815456466406</v>
      </c>
      <c r="AK124" s="122"/>
      <c r="AL124" s="258">
        <f>AL117</f>
        <v>0</v>
      </c>
      <c r="AM124" s="132">
        <f t="shared" si="79"/>
        <v>168.99347028005056</v>
      </c>
      <c r="AO124" s="359">
        <f>+(AC124+((AY124/1.16)/66.17)+M124)</f>
        <v>77.396056992267347</v>
      </c>
      <c r="AP124" s="360"/>
      <c r="AR124" s="225"/>
      <c r="AS124" s="226">
        <f t="shared" si="80"/>
        <v>3.7692363037695356</v>
      </c>
      <c r="AU124" s="104"/>
      <c r="AV124" s="104"/>
      <c r="AX124" s="225"/>
      <c r="AY124" s="132">
        <f t="shared" si="81"/>
        <v>877.0299855383214</v>
      </c>
      <c r="BA124" s="211"/>
      <c r="BB124" s="149">
        <f t="shared" si="82"/>
        <v>1040.4243960498354</v>
      </c>
      <c r="BD124" s="220">
        <f t="shared" si="83"/>
        <v>14.875445161103043</v>
      </c>
      <c r="BE124" s="290">
        <f t="shared" si="84"/>
        <v>2.6550595347307424</v>
      </c>
      <c r="BF124" s="132">
        <f t="shared" si="85"/>
        <v>16.028947380245253</v>
      </c>
      <c r="BH124" s="104"/>
      <c r="BI124" s="104"/>
      <c r="BJ124" s="104"/>
      <c r="BL124" s="104"/>
      <c r="BM124" s="104"/>
    </row>
    <row r="125" spans="2:65" s="253" customFormat="1" x14ac:dyDescent="0.15">
      <c r="B125" s="366"/>
      <c r="C125" s="179">
        <v>42614</v>
      </c>
      <c r="D125" s="180">
        <v>532.423764900739</v>
      </c>
      <c r="E125" s="193">
        <f t="shared" si="86"/>
        <v>541.38350822167229</v>
      </c>
      <c r="F125" s="194">
        <f t="shared" si="87"/>
        <v>1.0268611637815168E-3</v>
      </c>
      <c r="H125" s="144"/>
      <c r="I125" s="149">
        <f t="shared" si="73"/>
        <v>30.381270545902421</v>
      </c>
      <c r="L125" s="122"/>
      <c r="M125" s="132">
        <f t="shared" si="74"/>
        <v>43.437580879390779</v>
      </c>
      <c r="O125" s="144"/>
      <c r="P125" s="149">
        <f t="shared" si="75"/>
        <v>9242496.9912952594</v>
      </c>
      <c r="Q125" s="104"/>
      <c r="R125" s="104"/>
      <c r="S125" s="122"/>
      <c r="T125" s="132">
        <f t="shared" si="76"/>
        <v>10932564.385265021</v>
      </c>
      <c r="AB125" s="203"/>
      <c r="AC125" s="208">
        <f t="shared" si="77"/>
        <v>22.532447212156878</v>
      </c>
      <c r="AD125" s="104"/>
      <c r="AE125" s="220"/>
      <c r="AF125" s="220">
        <f t="shared" si="78"/>
        <v>9027812.2876302395</v>
      </c>
      <c r="AH125" s="239">
        <f t="shared" si="70"/>
        <v>66.377701019647461</v>
      </c>
      <c r="AI125" s="251">
        <f t="shared" si="71"/>
        <v>194.82185643856135</v>
      </c>
      <c r="AK125" s="122"/>
      <c r="AL125" s="258">
        <f>AL117</f>
        <v>0</v>
      </c>
      <c r="AM125" s="132">
        <f t="shared" si="79"/>
        <v>168.99347028005056</v>
      </c>
      <c r="AO125" s="359">
        <f>+(AC125+((AY125/1.16)/66.17)+M125)</f>
        <v>77.396056992267347</v>
      </c>
      <c r="AP125" s="360"/>
      <c r="AR125" s="225"/>
      <c r="AS125" s="226">
        <f t="shared" si="80"/>
        <v>3.7692363037695356</v>
      </c>
      <c r="AU125" s="104"/>
      <c r="AV125" s="104"/>
      <c r="AX125" s="225"/>
      <c r="AY125" s="132">
        <f t="shared" si="81"/>
        <v>877.0299855383214</v>
      </c>
      <c r="BA125" s="211"/>
      <c r="BB125" s="149">
        <f t="shared" si="82"/>
        <v>1040.4243960498354</v>
      </c>
      <c r="BD125" s="220">
        <f t="shared" si="83"/>
        <v>14.875445161103043</v>
      </c>
      <c r="BE125" s="290">
        <f t="shared" si="84"/>
        <v>2.6550595347307424</v>
      </c>
      <c r="BF125" s="132">
        <f t="shared" si="85"/>
        <v>16.028947380245253</v>
      </c>
      <c r="BH125" s="104"/>
      <c r="BI125" s="104"/>
      <c r="BJ125" s="104"/>
      <c r="BL125" s="104"/>
      <c r="BM125" s="104"/>
    </row>
    <row r="126" spans="2:65" s="253" customFormat="1" x14ac:dyDescent="0.15">
      <c r="B126" s="366"/>
      <c r="C126" s="179">
        <v>42644</v>
      </c>
      <c r="D126" s="180">
        <v>539.76193701493276</v>
      </c>
      <c r="E126" s="193">
        <f t="shared" ref="E126:E127" si="88">AVERAGE(D114:D125)</f>
        <v>541.30096465263773</v>
      </c>
      <c r="F126" s="194">
        <f t="shared" ref="F126:F128" si="89">(E126-E125)/E125</f>
        <v>-1.5246783062471464E-4</v>
      </c>
      <c r="H126" s="144"/>
      <c r="I126" s="149">
        <f t="shared" si="73"/>
        <v>30.381270545902421</v>
      </c>
      <c r="L126" s="122"/>
      <c r="M126" s="132">
        <f t="shared" si="74"/>
        <v>43.437580879390779</v>
      </c>
      <c r="O126" s="144"/>
      <c r="P126" s="149">
        <f t="shared" si="75"/>
        <v>9242496.9912952594</v>
      </c>
      <c r="Q126" s="104"/>
      <c r="R126" s="104"/>
      <c r="S126" s="122"/>
      <c r="T126" s="132">
        <f t="shared" si="76"/>
        <v>10932564.385265021</v>
      </c>
      <c r="AB126" s="203"/>
      <c r="AC126" s="208">
        <f t="shared" si="77"/>
        <v>22.532447212156878</v>
      </c>
      <c r="AD126" s="104"/>
      <c r="AE126" s="220"/>
      <c r="AF126" s="220">
        <f t="shared" si="78"/>
        <v>9027812.2876302395</v>
      </c>
      <c r="AH126" s="239">
        <f t="shared" si="70"/>
        <v>66.445861702965644</v>
      </c>
      <c r="AI126" s="251">
        <f t="shared" si="71"/>
        <v>195.02191143679394</v>
      </c>
      <c r="AK126" s="122"/>
      <c r="AL126" s="258">
        <f>AL117</f>
        <v>0</v>
      </c>
      <c r="AM126" s="132">
        <f t="shared" si="79"/>
        <v>168.99347028005056</v>
      </c>
      <c r="AO126" s="359">
        <f>+(AC126+((AY126/1.16)/66.17)+M126)</f>
        <v>77.396056992267347</v>
      </c>
      <c r="AP126" s="360"/>
      <c r="AR126" s="225"/>
      <c r="AS126" s="226">
        <f t="shared" si="80"/>
        <v>3.7692363037695356</v>
      </c>
      <c r="AU126" s="104"/>
      <c r="AV126" s="104"/>
      <c r="AX126" s="225"/>
      <c r="AY126" s="132">
        <f t="shared" si="81"/>
        <v>877.0299855383214</v>
      </c>
      <c r="BA126" s="211"/>
      <c r="BB126" s="149">
        <f t="shared" si="82"/>
        <v>1040.4243960498354</v>
      </c>
      <c r="BD126" s="220">
        <f t="shared" si="83"/>
        <v>14.875445161103043</v>
      </c>
      <c r="BE126" s="290">
        <f t="shared" si="84"/>
        <v>2.6550595347307424</v>
      </c>
      <c r="BF126" s="132">
        <f t="shared" si="85"/>
        <v>16.028947380245253</v>
      </c>
      <c r="BH126" s="104"/>
      <c r="BI126" s="104"/>
      <c r="BJ126" s="104"/>
      <c r="BL126" s="104"/>
      <c r="BM126" s="104"/>
    </row>
    <row r="127" spans="2:65" s="253" customFormat="1" x14ac:dyDescent="0.15">
      <c r="B127" s="366"/>
      <c r="C127" s="179">
        <v>42675</v>
      </c>
      <c r="D127" s="180">
        <v>555.00955631302475</v>
      </c>
      <c r="E127" s="193">
        <f t="shared" si="88"/>
        <v>542.88921259169376</v>
      </c>
      <c r="F127" s="194">
        <f t="shared" si="89"/>
        <v>2.9341309969311406E-3</v>
      </c>
      <c r="H127" s="144"/>
      <c r="I127" s="149">
        <f t="shared" si="73"/>
        <v>30.381270545902421</v>
      </c>
      <c r="L127" s="122"/>
      <c r="M127" s="132">
        <f t="shared" si="74"/>
        <v>43.437580879390779</v>
      </c>
      <c r="O127" s="144"/>
      <c r="P127" s="149">
        <f t="shared" si="75"/>
        <v>9242496.9912952594</v>
      </c>
      <c r="Q127" s="104"/>
      <c r="R127" s="104"/>
      <c r="S127" s="122"/>
      <c r="T127" s="132">
        <f t="shared" si="76"/>
        <v>10932564.385265021</v>
      </c>
      <c r="AB127" s="203"/>
      <c r="AC127" s="208">
        <f t="shared" si="77"/>
        <v>22.532447212156878</v>
      </c>
      <c r="AD127" s="104"/>
      <c r="AE127" s="220"/>
      <c r="AF127" s="220">
        <f t="shared" si="78"/>
        <v>9027812.2876302395</v>
      </c>
      <c r="AH127" s="239">
        <f t="shared" si="70"/>
        <v>66.435730846577798</v>
      </c>
      <c r="AI127" s="251">
        <f t="shared" si="71"/>
        <v>194.99217686903287</v>
      </c>
      <c r="AK127" s="122"/>
      <c r="AL127" s="258">
        <f>AL117</f>
        <v>0</v>
      </c>
      <c r="AM127" s="132">
        <f t="shared" si="79"/>
        <v>168.99347028005056</v>
      </c>
      <c r="AO127" s="359">
        <f>+(AC127+((AY127/1.16)/66.17)+M127)</f>
        <v>77.396056992267347</v>
      </c>
      <c r="AP127" s="360"/>
      <c r="AR127" s="225"/>
      <c r="AS127" s="226">
        <f t="shared" si="80"/>
        <v>3.7692363037695356</v>
      </c>
      <c r="AU127" s="104"/>
      <c r="AV127" s="104"/>
      <c r="AX127" s="225"/>
      <c r="AY127" s="132">
        <f t="shared" si="81"/>
        <v>877.0299855383214</v>
      </c>
      <c r="BA127" s="211"/>
      <c r="BB127" s="149">
        <f t="shared" si="82"/>
        <v>1040.4243960498354</v>
      </c>
      <c r="BD127" s="220">
        <f t="shared" si="83"/>
        <v>14.875445161103043</v>
      </c>
      <c r="BE127" s="290">
        <f t="shared" si="84"/>
        <v>2.6550595347307424</v>
      </c>
      <c r="BF127" s="132">
        <f t="shared" si="85"/>
        <v>16.028947380245253</v>
      </c>
      <c r="BH127" s="104"/>
      <c r="BI127" s="104"/>
      <c r="BJ127" s="104"/>
      <c r="BL127" s="104"/>
      <c r="BM127" s="104"/>
    </row>
    <row r="128" spans="2:65" s="253" customFormat="1" ht="11.25" thickBot="1" x14ac:dyDescent="0.2">
      <c r="B128" s="366"/>
      <c r="C128" s="196">
        <v>42705</v>
      </c>
      <c r="D128" s="197">
        <v>543.135253839798</v>
      </c>
      <c r="E128" s="193">
        <f>AVERAGE(D116:D127)</f>
        <v>544.66324360433066</v>
      </c>
      <c r="F128" s="194">
        <f t="shared" si="89"/>
        <v>3.2677588198296789E-3</v>
      </c>
      <c r="H128" s="154"/>
      <c r="I128" s="147">
        <f t="shared" si="73"/>
        <v>30.381270545902421</v>
      </c>
      <c r="L128" s="138"/>
      <c r="M128" s="136">
        <f t="shared" si="74"/>
        <v>43.437580879390779</v>
      </c>
      <c r="O128" s="154"/>
      <c r="P128" s="147">
        <f t="shared" si="75"/>
        <v>9242496.9912952594</v>
      </c>
      <c r="Q128" s="104"/>
      <c r="R128" s="104"/>
      <c r="S128" s="138"/>
      <c r="T128" s="136">
        <f t="shared" si="76"/>
        <v>10932564.385265021</v>
      </c>
      <c r="AB128" s="204"/>
      <c r="AC128" s="209">
        <f t="shared" si="77"/>
        <v>22.532447212156878</v>
      </c>
      <c r="AD128" s="104"/>
      <c r="AE128" s="222"/>
      <c r="AF128" s="219">
        <f t="shared" si="78"/>
        <v>9027812.2876302395</v>
      </c>
      <c r="AH128" s="239">
        <f t="shared" si="70"/>
        <v>66.630661983758515</v>
      </c>
      <c r="AI128" s="251">
        <f t="shared" si="71"/>
        <v>195.56430945934338</v>
      </c>
      <c r="AK128" s="138"/>
      <c r="AL128" s="275">
        <f>AL117</f>
        <v>0</v>
      </c>
      <c r="AM128" s="136">
        <f t="shared" si="79"/>
        <v>168.99347028005056</v>
      </c>
      <c r="AO128" s="370">
        <f>+(AC128+((AY128/1.16)/66.17)+M128)</f>
        <v>77.396056992267347</v>
      </c>
      <c r="AP128" s="371"/>
      <c r="AR128" s="282"/>
      <c r="AS128" s="229">
        <f t="shared" si="80"/>
        <v>3.7692363037695356</v>
      </c>
      <c r="AU128" s="104"/>
      <c r="AV128" s="104"/>
      <c r="AX128" s="282"/>
      <c r="AY128" s="136">
        <f t="shared" si="81"/>
        <v>877.0299855383214</v>
      </c>
      <c r="BA128" s="284"/>
      <c r="BB128" s="147">
        <f t="shared" si="82"/>
        <v>1040.4243960498354</v>
      </c>
      <c r="BD128" s="291">
        <f t="shared" si="83"/>
        <v>14.875445161103043</v>
      </c>
      <c r="BE128" s="292">
        <f t="shared" si="84"/>
        <v>2.6550595347307424</v>
      </c>
      <c r="BF128" s="136">
        <f t="shared" si="85"/>
        <v>16.028947380245253</v>
      </c>
      <c r="BH128" s="104"/>
      <c r="BI128" s="104"/>
      <c r="BJ128" s="104"/>
      <c r="BL128" s="104"/>
      <c r="BM128" s="104"/>
    </row>
    <row r="129" spans="2:65" s="253" customFormat="1" ht="10.5" customHeight="1" x14ac:dyDescent="0.15">
      <c r="B129" s="365">
        <v>2017</v>
      </c>
      <c r="C129" s="175">
        <v>42736</v>
      </c>
      <c r="D129" s="187">
        <v>548.34468471012246</v>
      </c>
      <c r="E129" s="188">
        <f>AVERAGE(D117:D128)</f>
        <v>544.91534918657896</v>
      </c>
      <c r="F129" s="189">
        <f>(E129-E128)/E128</f>
        <v>4.6286505507510699E-4</v>
      </c>
      <c r="H129" s="142"/>
      <c r="I129" s="153">
        <f>(1+(($E$128-$E$14)/$E$14))*$H$20*0.98</f>
        <v>33.144810231956107</v>
      </c>
      <c r="L129" s="120"/>
      <c r="M129" s="137">
        <f>(1+((E128-$E$14)/$E$14))*L$20*0.98</f>
        <v>47.388748044865139</v>
      </c>
      <c r="O129" s="142"/>
      <c r="P129" s="153">
        <f>(1+((E128-$E$14)/$E$14))*O$20*0.98</f>
        <v>10083212.562919734</v>
      </c>
      <c r="Q129" s="104"/>
      <c r="R129" s="104"/>
      <c r="S129" s="120"/>
      <c r="T129" s="137">
        <f>(1+((E128-$E$14)/$E$14))*S$20*0.98</f>
        <v>11927011.78677739</v>
      </c>
      <c r="AB129" s="210">
        <v>10.99</v>
      </c>
      <c r="AC129" s="207">
        <f>AB129*0.98*(1+((E128-$E$93)/$E$93))</f>
        <v>14.21129133154704</v>
      </c>
      <c r="AD129" s="104"/>
      <c r="AE129" s="223">
        <v>4273389.92</v>
      </c>
      <c r="AF129" s="224">
        <f>AE129*0.98*(1+((E128-$E$93)/$E$93))</f>
        <v>5525968.0733772963</v>
      </c>
      <c r="AH129" s="249">
        <f>AH128*(1+F128)*0.98</f>
        <v>65.511427018784502</v>
      </c>
      <c r="AI129" s="250">
        <f>AI128*(1+F128)*0.98</f>
        <v>192.27929912729459</v>
      </c>
      <c r="AK129" s="120"/>
      <c r="AL129" s="277">
        <v>0</v>
      </c>
      <c r="AM129" s="280">
        <f>AL$20*0.98*(1+((E128-$E$14)/$E$14))</f>
        <v>184.36544628405747</v>
      </c>
      <c r="AO129" s="379">
        <f>+(AC129+((AY129/1.16)/66.17)+M129)</f>
        <v>76.864106936762482</v>
      </c>
      <c r="AP129" s="380"/>
      <c r="AR129" s="223">
        <v>1.86</v>
      </c>
      <c r="AS129" s="224">
        <f>AR129*0.98*(1+((E128-$E$93)/$E$93))</f>
        <v>2.405186703974294</v>
      </c>
      <c r="AU129" s="104"/>
      <c r="AV129" s="104"/>
      <c r="AX129" s="223"/>
      <c r="AY129" s="281">
        <f>(AY117)*0.98*(1+((E128-$E$57)/$E$57))</f>
        <v>1171.6270865433205</v>
      </c>
      <c r="BA129" s="210"/>
      <c r="BB129" s="283">
        <f>(BB117)*0.98*(1+((E128-$E$57)/$E$57))</f>
        <v>1389.9061879443566</v>
      </c>
      <c r="BD129" s="288">
        <f>12.55*0.98*(1+((E128-$E$93)/$E$93))</f>
        <v>16.228544696170641</v>
      </c>
      <c r="BE129" s="289">
        <f>2.24*0.98*(1+((E128-$E$93)/$E$93))</f>
        <v>2.896568933818505</v>
      </c>
      <c r="BF129" s="281">
        <f>13.09*0.98*(1+((E128-$E$57)/$E$57))</f>
        <v>17.486971729294357</v>
      </c>
      <c r="BH129" s="104"/>
      <c r="BI129" s="104"/>
      <c r="BJ129" s="104"/>
      <c r="BL129" s="104"/>
      <c r="BM129" s="104"/>
    </row>
    <row r="130" spans="2:65" s="253" customFormat="1" ht="11.25" thickBot="1" x14ac:dyDescent="0.2">
      <c r="B130" s="366"/>
      <c r="C130" s="293" t="s">
        <v>43</v>
      </c>
      <c r="D130" s="294">
        <v>545.07959910266902</v>
      </c>
      <c r="E130" s="295">
        <f>AVERAGE(D118:D129)</f>
        <v>543.9079114569023</v>
      </c>
      <c r="F130" s="296">
        <f>(E130-E129)/E129</f>
        <v>-1.8487967556438209E-3</v>
      </c>
      <c r="H130" s="298"/>
      <c r="I130" s="299">
        <f>+I129</f>
        <v>33.144810231956107</v>
      </c>
      <c r="L130" s="298"/>
      <c r="M130" s="299">
        <f>+M129</f>
        <v>47.388748044865139</v>
      </c>
      <c r="O130" s="298"/>
      <c r="P130" s="299">
        <f>+P129</f>
        <v>10083212.562919734</v>
      </c>
      <c r="Q130" s="297"/>
      <c r="R130" s="297"/>
      <c r="S130" s="298"/>
      <c r="T130" s="299">
        <f>+T129</f>
        <v>11927011.78677739</v>
      </c>
      <c r="AB130" s="300"/>
      <c r="AC130" s="301">
        <f>+AC129</f>
        <v>14.21129133154704</v>
      </c>
      <c r="AD130" s="297"/>
      <c r="AE130" s="300"/>
      <c r="AF130" s="301">
        <f>+AF129</f>
        <v>5525968.0733772963</v>
      </c>
      <c r="AH130" s="302">
        <f>AH129*(1+F129)</f>
        <v>65.541749969059595</v>
      </c>
      <c r="AI130" s="303">
        <f>AI129*(1+F129)</f>
        <v>192.36829849567494</v>
      </c>
      <c r="AK130" s="298"/>
      <c r="AL130" s="304">
        <f>AL129</f>
        <v>0</v>
      </c>
      <c r="AM130" s="299">
        <f>+AM129</f>
        <v>184.36544628405747</v>
      </c>
      <c r="AO130" s="377">
        <f>+AO129</f>
        <v>76.864106936762482</v>
      </c>
      <c r="AP130" s="378"/>
      <c r="AR130" s="300"/>
      <c r="AS130" s="301">
        <f>+AS129</f>
        <v>2.405186703974294</v>
      </c>
      <c r="AU130" s="104"/>
      <c r="AV130" s="104"/>
      <c r="AX130" s="300"/>
      <c r="AY130" s="299">
        <f>+AY129</f>
        <v>1171.6270865433205</v>
      </c>
      <c r="BA130" s="300"/>
      <c r="BB130" s="299">
        <f>+BB129</f>
        <v>1389.9061879443566</v>
      </c>
      <c r="BD130" s="305">
        <f>+BD129</f>
        <v>16.228544696170641</v>
      </c>
      <c r="BE130" s="306">
        <f t="shared" ref="BE130:BF130" si="90">+BE129</f>
        <v>2.896568933818505</v>
      </c>
      <c r="BF130" s="299">
        <f t="shared" si="90"/>
        <v>17.486971729294357</v>
      </c>
    </row>
    <row r="131" spans="2:65" s="253" customFormat="1" x14ac:dyDescent="0.15">
      <c r="B131" s="366"/>
      <c r="C131" s="293" t="s">
        <v>42</v>
      </c>
      <c r="D131" s="294">
        <v>545.07959910266902</v>
      </c>
      <c r="E131" s="295">
        <f>AVERAGE(D118:D129)</f>
        <v>543.9079114569023</v>
      </c>
      <c r="F131" s="296">
        <f>(E130-E129)/E129</f>
        <v>-1.8487967556438209E-3</v>
      </c>
      <c r="H131" s="298"/>
      <c r="I131" s="299">
        <f t="shared" ref="I131:I142" si="91">+I130</f>
        <v>33.144810231956107</v>
      </c>
      <c r="L131" s="298"/>
      <c r="M131" s="299">
        <f t="shared" ref="M131:M132" si="92">+M130</f>
        <v>47.388748044865139</v>
      </c>
      <c r="O131" s="298"/>
      <c r="P131" s="299">
        <f>+P130</f>
        <v>10083212.562919734</v>
      </c>
      <c r="Q131" s="297"/>
      <c r="R131" s="297"/>
      <c r="S131" s="298"/>
      <c r="T131" s="299">
        <f>+T130</f>
        <v>11927011.78677739</v>
      </c>
      <c r="AB131" s="307">
        <v>11.43</v>
      </c>
      <c r="AC131" s="307">
        <v>11.43</v>
      </c>
      <c r="AD131" s="297"/>
      <c r="AE131" s="307">
        <v>4444584.91</v>
      </c>
      <c r="AF131" s="307">
        <v>4444584.91</v>
      </c>
      <c r="AH131" s="302">
        <f>AH129*(1+F129)</f>
        <v>65.541749969059595</v>
      </c>
      <c r="AI131" s="303">
        <f>AI129*(1+F129)</f>
        <v>192.36829849567494</v>
      </c>
      <c r="AK131" s="298"/>
      <c r="AL131" s="304">
        <f>AL130</f>
        <v>0</v>
      </c>
      <c r="AM131" s="299">
        <f>+AM130</f>
        <v>184.36544628405747</v>
      </c>
      <c r="AO131" s="375">
        <f>+(AC131+((AY131/1.16)/66.17)+M131)</f>
        <v>74.082815605215444</v>
      </c>
      <c r="AP131" s="376"/>
      <c r="AR131" s="307">
        <v>1</v>
      </c>
      <c r="AS131" s="307">
        <v>1</v>
      </c>
      <c r="AU131" s="307">
        <v>2</v>
      </c>
      <c r="AV131" s="307">
        <f>AU131</f>
        <v>2</v>
      </c>
      <c r="AX131" s="300"/>
      <c r="AY131" s="299">
        <f t="shared" ref="AY131:AY142" si="93">+AY130</f>
        <v>1171.6270865433205</v>
      </c>
      <c r="BA131" s="300"/>
      <c r="BB131" s="299">
        <f>+BB130</f>
        <v>1389.9061879443566</v>
      </c>
      <c r="BD131" s="308">
        <v>11.43</v>
      </c>
      <c r="BE131" s="309">
        <v>1</v>
      </c>
      <c r="BF131" s="310">
        <v>6.4</v>
      </c>
      <c r="BH131" s="311">
        <v>28.67</v>
      </c>
      <c r="BI131" s="312">
        <v>1</v>
      </c>
      <c r="BJ131" s="313">
        <v>11.87</v>
      </c>
    </row>
    <row r="132" spans="2:65" s="253" customFormat="1" x14ac:dyDescent="0.15">
      <c r="B132" s="366"/>
      <c r="C132" s="179">
        <v>42795</v>
      </c>
      <c r="D132" s="180">
        <v>544.46194320316135</v>
      </c>
      <c r="E132" s="181">
        <f>AVERAGE(D119:D130)</f>
        <v>542.40112168198277</v>
      </c>
      <c r="F132" s="182">
        <f t="shared" ref="F132:F137" si="94">(E132-E131)/E131</f>
        <v>-2.7703031031180709E-3</v>
      </c>
      <c r="H132" s="144"/>
      <c r="I132" s="149">
        <f t="shared" si="91"/>
        <v>33.144810231956107</v>
      </c>
      <c r="L132" s="122"/>
      <c r="M132" s="132">
        <f t="shared" si="92"/>
        <v>47.388748044865139</v>
      </c>
      <c r="O132" s="144"/>
      <c r="P132" s="149">
        <f t="shared" ref="P132:P142" si="95">+P131</f>
        <v>10083212.562919734</v>
      </c>
      <c r="Q132" s="104"/>
      <c r="R132" s="104"/>
      <c r="S132" s="122"/>
      <c r="T132" s="132">
        <f t="shared" ref="T132:T142" si="96">+T131</f>
        <v>11927011.78677739</v>
      </c>
      <c r="AB132" s="211"/>
      <c r="AC132" s="208">
        <f>+AC131</f>
        <v>11.43</v>
      </c>
      <c r="AD132" s="104"/>
      <c r="AE132" s="225"/>
      <c r="AF132" s="226">
        <f>+AF131</f>
        <v>4444584.91</v>
      </c>
      <c r="AH132" s="239">
        <f t="shared" ref="AH132:AH137" si="97">AH131*(1+F131)</f>
        <v>65.42057659435757</v>
      </c>
      <c r="AI132" s="251">
        <f t="shared" ref="AI132:AI137" si="98">AI131*(1+F131)</f>
        <v>192.01264860952739</v>
      </c>
      <c r="AK132" s="122"/>
      <c r="AL132" s="258">
        <f>AL129</f>
        <v>0</v>
      </c>
      <c r="AM132" s="132">
        <f>+AM130</f>
        <v>184.36544628405747</v>
      </c>
      <c r="AO132" s="363">
        <f t="shared" ref="AO132:AO142" si="99">+AO131</f>
        <v>74.082815605215444</v>
      </c>
      <c r="AP132" s="364"/>
      <c r="AR132" s="225"/>
      <c r="AS132" s="226">
        <f>+AS131</f>
        <v>1</v>
      </c>
      <c r="AU132" s="211"/>
      <c r="AV132" s="208">
        <f>+AV131</f>
        <v>2</v>
      </c>
      <c r="AX132" s="225"/>
      <c r="AY132" s="132">
        <f t="shared" si="93"/>
        <v>1171.6270865433205</v>
      </c>
      <c r="BA132" s="211"/>
      <c r="BB132" s="149">
        <f t="shared" ref="BB132:BB142" si="100">+BB131</f>
        <v>1389.9061879443566</v>
      </c>
      <c r="BD132" s="220">
        <f>+BD131</f>
        <v>11.43</v>
      </c>
      <c r="BE132" s="290">
        <f t="shared" ref="BE132:BF142" si="101">+BE131</f>
        <v>1</v>
      </c>
      <c r="BF132" s="132">
        <f t="shared" si="101"/>
        <v>6.4</v>
      </c>
      <c r="BH132" s="203">
        <f>+BH131</f>
        <v>28.67</v>
      </c>
      <c r="BI132" s="286">
        <f>+BI131</f>
        <v>1</v>
      </c>
      <c r="BJ132" s="149">
        <f>+BJ131</f>
        <v>11.87</v>
      </c>
    </row>
    <row r="133" spans="2:65" s="253" customFormat="1" x14ac:dyDescent="0.15">
      <c r="B133" s="366"/>
      <c r="C133" s="179">
        <v>42826</v>
      </c>
      <c r="D133" s="180">
        <v>548.30999999999995</v>
      </c>
      <c r="E133" s="181">
        <f>AVERAGE(D132,D120:D130)</f>
        <v>542.47737508274065</v>
      </c>
      <c r="F133" s="182">
        <f t="shared" si="94"/>
        <v>1.4058488765918576E-4</v>
      </c>
      <c r="H133" s="144"/>
      <c r="I133" s="149">
        <f t="shared" si="91"/>
        <v>33.144810231956107</v>
      </c>
      <c r="L133" s="122"/>
      <c r="M133" s="132">
        <f t="shared" ref="M133:M142" si="102">+M132</f>
        <v>47.388748044865139</v>
      </c>
      <c r="O133" s="144"/>
      <c r="P133" s="149">
        <f t="shared" si="95"/>
        <v>10083212.562919734</v>
      </c>
      <c r="Q133" s="104"/>
      <c r="R133" s="104"/>
      <c r="S133" s="122"/>
      <c r="T133" s="132">
        <f t="shared" si="96"/>
        <v>11927011.78677739</v>
      </c>
      <c r="AB133" s="211"/>
      <c r="AC133" s="208">
        <f t="shared" ref="AC133:AC142" si="103">+AC132</f>
        <v>11.43</v>
      </c>
      <c r="AD133" s="104"/>
      <c r="AE133" s="225"/>
      <c r="AF133" s="226">
        <f t="shared" ref="AF133:AF142" si="104">+AF132</f>
        <v>4444584.91</v>
      </c>
      <c r="AH133" s="239">
        <f t="shared" si="97"/>
        <v>65.239341768010448</v>
      </c>
      <c r="AI133" s="251">
        <f t="shared" si="98"/>
        <v>191.48071537324648</v>
      </c>
      <c r="AK133" s="122"/>
      <c r="AL133" s="258">
        <f>AL129</f>
        <v>0</v>
      </c>
      <c r="AM133" s="132">
        <f t="shared" ref="AM133:AM142" si="105">+AM132</f>
        <v>184.36544628405747</v>
      </c>
      <c r="AO133" s="363">
        <f t="shared" si="99"/>
        <v>74.082815605215444</v>
      </c>
      <c r="AP133" s="364"/>
      <c r="AR133" s="225"/>
      <c r="AS133" s="226">
        <f t="shared" ref="AS133:AS142" si="106">+AS132</f>
        <v>1</v>
      </c>
      <c r="AU133" s="211"/>
      <c r="AV133" s="208">
        <f t="shared" ref="AV133:AV142" si="107">+AV132</f>
        <v>2</v>
      </c>
      <c r="AX133" s="225"/>
      <c r="AY133" s="132">
        <f t="shared" si="93"/>
        <v>1171.6270865433205</v>
      </c>
      <c r="BA133" s="211"/>
      <c r="BB133" s="149">
        <f t="shared" si="100"/>
        <v>1389.9061879443566</v>
      </c>
      <c r="BD133" s="220">
        <f t="shared" ref="BD133:BD142" si="108">+BD132</f>
        <v>11.43</v>
      </c>
      <c r="BE133" s="290">
        <f t="shared" si="101"/>
        <v>1</v>
      </c>
      <c r="BF133" s="132">
        <f t="shared" si="101"/>
        <v>6.4</v>
      </c>
      <c r="BH133" s="203">
        <f t="shared" ref="BH133:BH142" si="109">+BH132</f>
        <v>28.67</v>
      </c>
      <c r="BI133" s="286">
        <f t="shared" ref="BI133:BI142" si="110">+BI132</f>
        <v>1</v>
      </c>
      <c r="BJ133" s="149">
        <f t="shared" ref="BJ133:BJ142" si="111">+BJ132</f>
        <v>11.87</v>
      </c>
    </row>
    <row r="134" spans="2:65" s="253" customFormat="1" x14ac:dyDescent="0.15">
      <c r="B134" s="366"/>
      <c r="C134" s="179">
        <v>42856</v>
      </c>
      <c r="D134" s="180">
        <v>546.42999999999995</v>
      </c>
      <c r="E134" s="181">
        <f>AVERAGE(D132:D133,D121:D130)</f>
        <v>543.9175707956208</v>
      </c>
      <c r="F134" s="182">
        <f t="shared" si="94"/>
        <v>2.654849361524967E-3</v>
      </c>
      <c r="H134" s="144"/>
      <c r="I134" s="149">
        <f t="shared" si="91"/>
        <v>33.144810231956107</v>
      </c>
      <c r="L134" s="122"/>
      <c r="M134" s="132">
        <f t="shared" si="102"/>
        <v>47.388748044865139</v>
      </c>
      <c r="O134" s="144"/>
      <c r="P134" s="149">
        <f t="shared" si="95"/>
        <v>10083212.562919734</v>
      </c>
      <c r="Q134" s="104"/>
      <c r="R134" s="104"/>
      <c r="S134" s="122"/>
      <c r="T134" s="132">
        <f t="shared" si="96"/>
        <v>11927011.78677739</v>
      </c>
      <c r="AB134" s="212"/>
      <c r="AC134" s="208">
        <f t="shared" si="103"/>
        <v>11.43</v>
      </c>
      <c r="AD134" s="104"/>
      <c r="AE134" s="227"/>
      <c r="AF134" s="226">
        <f t="shared" si="104"/>
        <v>4444584.91</v>
      </c>
      <c r="AH134" s="239">
        <f t="shared" si="97"/>
        <v>65.248513433543863</v>
      </c>
      <c r="AI134" s="251">
        <f t="shared" si="98"/>
        <v>191.50763466810614</v>
      </c>
      <c r="AK134" s="122"/>
      <c r="AL134" s="258">
        <f>AL129</f>
        <v>0</v>
      </c>
      <c r="AM134" s="132">
        <f t="shared" si="105"/>
        <v>184.36544628405747</v>
      </c>
      <c r="AO134" s="363">
        <f t="shared" si="99"/>
        <v>74.082815605215444</v>
      </c>
      <c r="AP134" s="364"/>
      <c r="AR134" s="225"/>
      <c r="AS134" s="226">
        <f t="shared" si="106"/>
        <v>1</v>
      </c>
      <c r="AU134" s="211"/>
      <c r="AV134" s="208">
        <f t="shared" si="107"/>
        <v>2</v>
      </c>
      <c r="AX134" s="225"/>
      <c r="AY134" s="132">
        <f t="shared" si="93"/>
        <v>1171.6270865433205</v>
      </c>
      <c r="BA134" s="211"/>
      <c r="BB134" s="149">
        <f t="shared" si="100"/>
        <v>1389.9061879443566</v>
      </c>
      <c r="BD134" s="220">
        <f t="shared" si="108"/>
        <v>11.43</v>
      </c>
      <c r="BE134" s="290">
        <f t="shared" si="101"/>
        <v>1</v>
      </c>
      <c r="BF134" s="132">
        <f t="shared" si="101"/>
        <v>6.4</v>
      </c>
      <c r="BH134" s="203">
        <f t="shared" si="109"/>
        <v>28.67</v>
      </c>
      <c r="BI134" s="286">
        <f t="shared" si="110"/>
        <v>1</v>
      </c>
      <c r="BJ134" s="149">
        <f t="shared" si="111"/>
        <v>11.87</v>
      </c>
    </row>
    <row r="135" spans="2:65" s="253" customFormat="1" x14ac:dyDescent="0.15">
      <c r="B135" s="366"/>
      <c r="C135" s="179">
        <v>42887</v>
      </c>
      <c r="D135" s="180">
        <v>554.55999999999995</v>
      </c>
      <c r="E135" s="181">
        <f>AVERAGE(D132:D134,D122:D130)</f>
        <v>543.85522449997381</v>
      </c>
      <c r="F135" s="182">
        <f t="shared" si="94"/>
        <v>-1.1462452951426388E-4</v>
      </c>
      <c r="H135" s="144"/>
      <c r="I135" s="149">
        <f t="shared" si="91"/>
        <v>33.144810231956107</v>
      </c>
      <c r="L135" s="122"/>
      <c r="M135" s="132">
        <f t="shared" si="102"/>
        <v>47.388748044865139</v>
      </c>
      <c r="O135" s="144"/>
      <c r="P135" s="149">
        <f t="shared" si="95"/>
        <v>10083212.562919734</v>
      </c>
      <c r="Q135" s="104"/>
      <c r="R135" s="104"/>
      <c r="S135" s="122"/>
      <c r="T135" s="132">
        <f t="shared" si="96"/>
        <v>11927011.78677739</v>
      </c>
      <c r="AB135" s="211"/>
      <c r="AC135" s="208">
        <f t="shared" si="103"/>
        <v>11.43</v>
      </c>
      <c r="AD135" s="104"/>
      <c r="AE135" s="225"/>
      <c r="AF135" s="226">
        <f t="shared" si="104"/>
        <v>4444584.91</v>
      </c>
      <c r="AH135" s="239">
        <f t="shared" si="97"/>
        <v>65.421738407773361</v>
      </c>
      <c r="AI135" s="251">
        <f t="shared" si="98"/>
        <v>192.01605858973193</v>
      </c>
      <c r="AK135" s="122"/>
      <c r="AL135" s="258">
        <f>AL129</f>
        <v>0</v>
      </c>
      <c r="AM135" s="132">
        <f t="shared" si="105"/>
        <v>184.36544628405747</v>
      </c>
      <c r="AO135" s="363">
        <f t="shared" si="99"/>
        <v>74.082815605215444</v>
      </c>
      <c r="AP135" s="364"/>
      <c r="AR135" s="225"/>
      <c r="AS135" s="226">
        <f t="shared" si="106"/>
        <v>1</v>
      </c>
      <c r="AU135" s="211"/>
      <c r="AV135" s="208">
        <f t="shared" si="107"/>
        <v>2</v>
      </c>
      <c r="AX135" s="225"/>
      <c r="AY135" s="132">
        <f t="shared" si="93"/>
        <v>1171.6270865433205</v>
      </c>
      <c r="BA135" s="211"/>
      <c r="BB135" s="149">
        <f t="shared" si="100"/>
        <v>1389.9061879443566</v>
      </c>
      <c r="BD135" s="220">
        <f t="shared" si="108"/>
        <v>11.43</v>
      </c>
      <c r="BE135" s="290">
        <f t="shared" si="101"/>
        <v>1</v>
      </c>
      <c r="BF135" s="132">
        <f t="shared" si="101"/>
        <v>6.4</v>
      </c>
      <c r="BH135" s="203">
        <f t="shared" si="109"/>
        <v>28.67</v>
      </c>
      <c r="BI135" s="286">
        <f t="shared" si="110"/>
        <v>1</v>
      </c>
      <c r="BJ135" s="149">
        <f t="shared" si="111"/>
        <v>11.87</v>
      </c>
    </row>
    <row r="136" spans="2:65" s="253" customFormat="1" x14ac:dyDescent="0.15">
      <c r="B136" s="366"/>
      <c r="C136" s="179">
        <v>42917</v>
      </c>
      <c r="D136" s="180">
        <v>553.12820560741102</v>
      </c>
      <c r="E136" s="181">
        <f>AVERAGE(D132:D135,D123:D130)</f>
        <v>545.26082445497764</v>
      </c>
      <c r="F136" s="182">
        <f t="shared" si="94"/>
        <v>2.5845112663873838E-3</v>
      </c>
      <c r="H136" s="144"/>
      <c r="I136" s="149">
        <f t="shared" si="91"/>
        <v>33.144810231956107</v>
      </c>
      <c r="L136" s="122"/>
      <c r="M136" s="132">
        <f t="shared" si="102"/>
        <v>47.388748044865139</v>
      </c>
      <c r="O136" s="144"/>
      <c r="P136" s="149">
        <f t="shared" si="95"/>
        <v>10083212.562919734</v>
      </c>
      <c r="Q136" s="104"/>
      <c r="R136" s="104"/>
      <c r="S136" s="122"/>
      <c r="T136" s="132">
        <f t="shared" si="96"/>
        <v>11927011.78677739</v>
      </c>
      <c r="AB136" s="211"/>
      <c r="AC136" s="208">
        <f t="shared" si="103"/>
        <v>11.43</v>
      </c>
      <c r="AD136" s="104"/>
      <c r="AE136" s="225"/>
      <c r="AF136" s="226">
        <f t="shared" si="104"/>
        <v>4444584.91</v>
      </c>
      <c r="AH136" s="239">
        <f t="shared" si="97"/>
        <v>65.414239471788363</v>
      </c>
      <c r="AI136" s="251">
        <f t="shared" si="98"/>
        <v>191.99404883935691</v>
      </c>
      <c r="AK136" s="122"/>
      <c r="AL136" s="258">
        <f>AL129</f>
        <v>0</v>
      </c>
      <c r="AM136" s="132">
        <f t="shared" si="105"/>
        <v>184.36544628405747</v>
      </c>
      <c r="AO136" s="363">
        <f t="shared" si="99"/>
        <v>74.082815605215444</v>
      </c>
      <c r="AP136" s="364"/>
      <c r="AR136" s="225"/>
      <c r="AS136" s="226">
        <f t="shared" si="106"/>
        <v>1</v>
      </c>
      <c r="AU136" s="211"/>
      <c r="AV136" s="208">
        <f t="shared" si="107"/>
        <v>2</v>
      </c>
      <c r="AX136" s="225"/>
      <c r="AY136" s="132">
        <f t="shared" si="93"/>
        <v>1171.6270865433205</v>
      </c>
      <c r="BA136" s="211"/>
      <c r="BB136" s="149">
        <f t="shared" si="100"/>
        <v>1389.9061879443566</v>
      </c>
      <c r="BD136" s="220">
        <f t="shared" si="108"/>
        <v>11.43</v>
      </c>
      <c r="BE136" s="290">
        <f t="shared" si="101"/>
        <v>1</v>
      </c>
      <c r="BF136" s="132">
        <f t="shared" si="101"/>
        <v>6.4</v>
      </c>
      <c r="BH136" s="203">
        <f t="shared" si="109"/>
        <v>28.67</v>
      </c>
      <c r="BI136" s="286">
        <f t="shared" si="110"/>
        <v>1</v>
      </c>
      <c r="BJ136" s="149">
        <f t="shared" si="111"/>
        <v>11.87</v>
      </c>
    </row>
    <row r="137" spans="2:65" s="253" customFormat="1" x14ac:dyDescent="0.15">
      <c r="B137" s="366"/>
      <c r="C137" s="314" t="s">
        <v>49</v>
      </c>
      <c r="D137" s="294">
        <v>549.33115224334711</v>
      </c>
      <c r="E137" s="295">
        <f>AVERAGE(D132:D136,D124:D130)</f>
        <v>545.61723778991825</v>
      </c>
      <c r="F137" s="296">
        <f t="shared" si="94"/>
        <v>6.5365659690822182E-4</v>
      </c>
      <c r="H137" s="298"/>
      <c r="I137" s="299">
        <f>+I136</f>
        <v>33.144810231956107</v>
      </c>
      <c r="L137" s="298"/>
      <c r="M137" s="299">
        <f>+M136</f>
        <v>47.388748044865139</v>
      </c>
      <c r="O137" s="298"/>
      <c r="P137" s="299">
        <f>+P136</f>
        <v>10083212.562919734</v>
      </c>
      <c r="Q137" s="297"/>
      <c r="R137" s="297"/>
      <c r="S137" s="298"/>
      <c r="T137" s="299">
        <f>+T136</f>
        <v>11927011.78677739</v>
      </c>
      <c r="AB137" s="300"/>
      <c r="AC137" s="301">
        <f>+AC136</f>
        <v>11.43</v>
      </c>
      <c r="AD137" s="297"/>
      <c r="AE137" s="300"/>
      <c r="AF137" s="301">
        <f>+AF136</f>
        <v>4444584.91</v>
      </c>
      <c r="AH137" s="302">
        <f t="shared" si="97"/>
        <v>65.583303310685366</v>
      </c>
      <c r="AI137" s="303">
        <f t="shared" si="98"/>
        <v>192.49025962166155</v>
      </c>
      <c r="AK137" s="298"/>
      <c r="AL137" s="304">
        <f>AL129</f>
        <v>0</v>
      </c>
      <c r="AM137" s="299">
        <f>+AM136</f>
        <v>184.36544628405747</v>
      </c>
      <c r="AO137" s="377">
        <f>+AO136</f>
        <v>74.082815605215444</v>
      </c>
      <c r="AP137" s="378"/>
      <c r="AR137" s="300"/>
      <c r="AS137" s="301">
        <f>+AS136</f>
        <v>1</v>
      </c>
      <c r="AU137" s="300"/>
      <c r="AV137" s="301">
        <f>+AV136</f>
        <v>2</v>
      </c>
      <c r="AX137" s="300"/>
      <c r="AY137" s="299">
        <f>+AY136</f>
        <v>1171.6270865433205</v>
      </c>
      <c r="BA137" s="300"/>
      <c r="BB137" s="299">
        <f t="shared" si="100"/>
        <v>1389.9061879443566</v>
      </c>
      <c r="BD137" s="305">
        <f t="shared" si="108"/>
        <v>11.43</v>
      </c>
      <c r="BE137" s="306">
        <f t="shared" si="101"/>
        <v>1</v>
      </c>
      <c r="BF137" s="299">
        <f t="shared" si="101"/>
        <v>6.4</v>
      </c>
      <c r="BH137" s="305">
        <f t="shared" si="109"/>
        <v>28.67</v>
      </c>
      <c r="BI137" s="306">
        <f t="shared" si="110"/>
        <v>1</v>
      </c>
      <c r="BJ137" s="299">
        <f t="shared" si="111"/>
        <v>11.87</v>
      </c>
    </row>
    <row r="138" spans="2:65" s="253" customFormat="1" x14ac:dyDescent="0.15">
      <c r="B138" s="366"/>
      <c r="C138" s="314" t="s">
        <v>50</v>
      </c>
      <c r="D138" s="294">
        <v>549.33115224334711</v>
      </c>
      <c r="E138" s="295">
        <f>AVERAGE(D132:D136,D124:D130)</f>
        <v>545.61723778991825</v>
      </c>
      <c r="F138" s="296">
        <f>(E137-E136)/E136</f>
        <v>6.5365659690822182E-4</v>
      </c>
      <c r="H138" s="298"/>
      <c r="I138" s="299">
        <f>+I136</f>
        <v>33.144810231956107</v>
      </c>
      <c r="L138" s="298"/>
      <c r="M138" s="299">
        <f>+M136</f>
        <v>47.388748044865139</v>
      </c>
      <c r="O138" s="298"/>
      <c r="P138" s="299">
        <f>+P136</f>
        <v>10083212.562919734</v>
      </c>
      <c r="Q138" s="297"/>
      <c r="R138" s="297"/>
      <c r="S138" s="298"/>
      <c r="T138" s="299">
        <f>+T136</f>
        <v>11927011.78677739</v>
      </c>
      <c r="AB138" s="300"/>
      <c r="AC138" s="301">
        <f>+AC136</f>
        <v>11.43</v>
      </c>
      <c r="AD138" s="297"/>
      <c r="AE138" s="300"/>
      <c r="AF138" s="301">
        <f>+AF136</f>
        <v>4444584.91</v>
      </c>
      <c r="AH138" s="302">
        <f>AH136*(1+F136)</f>
        <v>65.583303310685366</v>
      </c>
      <c r="AI138" s="303">
        <f>AI136*(1+F136)</f>
        <v>192.49025962166155</v>
      </c>
      <c r="AK138" s="298"/>
      <c r="AL138" s="304">
        <f>AL129</f>
        <v>0</v>
      </c>
      <c r="AM138" s="299">
        <f>+AM136</f>
        <v>184.36544628405747</v>
      </c>
      <c r="AO138" s="377">
        <f>+AO136</f>
        <v>74.082815605215444</v>
      </c>
      <c r="AP138" s="378"/>
      <c r="AR138" s="300"/>
      <c r="AS138" s="301">
        <f>+AS136</f>
        <v>1</v>
      </c>
      <c r="AU138" s="300"/>
      <c r="AV138" s="301">
        <f>+AV136</f>
        <v>2</v>
      </c>
      <c r="AX138" s="300"/>
      <c r="AY138" s="299">
        <f>AY137/1.16</f>
        <v>1010.0233504683798</v>
      </c>
      <c r="BA138" s="300"/>
      <c r="BB138" s="299">
        <f>BB137/1.16</f>
        <v>1198.194989607204</v>
      </c>
      <c r="BD138" s="305">
        <f t="shared" si="108"/>
        <v>11.43</v>
      </c>
      <c r="BE138" s="306">
        <f t="shared" si="101"/>
        <v>1</v>
      </c>
      <c r="BF138" s="299">
        <f t="shared" si="101"/>
        <v>6.4</v>
      </c>
      <c r="BH138" s="305">
        <f t="shared" si="109"/>
        <v>28.67</v>
      </c>
      <c r="BI138" s="306">
        <f t="shared" si="110"/>
        <v>1</v>
      </c>
      <c r="BJ138" s="299">
        <f t="shared" si="111"/>
        <v>11.87</v>
      </c>
    </row>
    <row r="139" spans="2:65" x14ac:dyDescent="0.15">
      <c r="B139" s="366"/>
      <c r="C139" s="179">
        <v>42979</v>
      </c>
      <c r="D139" s="180">
        <v>549.11</v>
      </c>
      <c r="E139" s="181">
        <f>AVERAGE(D132:D137,D125:D130)</f>
        <v>546.66467474460035</v>
      </c>
      <c r="F139" s="182">
        <f t="shared" ref="F139:F142" si="112">(E139-E138)/E138</f>
        <v>1.9197284875471586E-3</v>
      </c>
      <c r="H139" s="144"/>
      <c r="I139" s="149">
        <f>+I137</f>
        <v>33.144810231956107</v>
      </c>
      <c r="L139" s="122"/>
      <c r="M139" s="132">
        <f>+M137</f>
        <v>47.388748044865139</v>
      </c>
      <c r="O139" s="144"/>
      <c r="P139" s="149">
        <f>+P137</f>
        <v>10083212.562919734</v>
      </c>
      <c r="S139" s="122"/>
      <c r="T139" s="132">
        <f>+T137</f>
        <v>11927011.78677739</v>
      </c>
      <c r="V139" s="253"/>
      <c r="W139" s="253"/>
      <c r="Y139" s="253"/>
      <c r="Z139" s="253"/>
      <c r="AB139" s="211"/>
      <c r="AC139" s="208">
        <f>+AC137</f>
        <v>11.43</v>
      </c>
      <c r="AE139" s="225"/>
      <c r="AF139" s="226">
        <f>+AF137</f>
        <v>4444584.91</v>
      </c>
      <c r="AH139" s="239">
        <f>AH138*(1+F138)</f>
        <v>65.626172269541428</v>
      </c>
      <c r="AI139" s="251">
        <f>AI138*(1+F138)</f>
        <v>192.61608214970383</v>
      </c>
      <c r="AK139" s="122"/>
      <c r="AL139" s="258">
        <f>AL129</f>
        <v>0</v>
      </c>
      <c r="AM139" s="132">
        <f>+AM137</f>
        <v>184.36544628405747</v>
      </c>
      <c r="AO139" s="363">
        <f>+AO137</f>
        <v>74.082815605215444</v>
      </c>
      <c r="AP139" s="364"/>
      <c r="AR139" s="225"/>
      <c r="AS139" s="226">
        <f>+AS137</f>
        <v>1</v>
      </c>
      <c r="AU139" s="211"/>
      <c r="AV139" s="208">
        <f>+AV137</f>
        <v>2</v>
      </c>
      <c r="AX139" s="225"/>
      <c r="AY139" s="132">
        <f>+AY138</f>
        <v>1010.0233504683798</v>
      </c>
      <c r="BA139" s="211"/>
      <c r="BB139" s="149">
        <f>+BB138</f>
        <v>1198.194989607204</v>
      </c>
      <c r="BD139" s="220">
        <f>+BD137</f>
        <v>11.43</v>
      </c>
      <c r="BE139" s="290">
        <f>+BE137</f>
        <v>1</v>
      </c>
      <c r="BF139" s="132">
        <f>+BF137</f>
        <v>6.4</v>
      </c>
      <c r="BH139" s="203">
        <f>+BH137</f>
        <v>28.67</v>
      </c>
      <c r="BI139" s="286">
        <f>+BI137</f>
        <v>1</v>
      </c>
      <c r="BJ139" s="149">
        <f>+BJ137</f>
        <v>11.87</v>
      </c>
      <c r="BL139" s="253"/>
      <c r="BM139" s="253"/>
    </row>
    <row r="140" spans="2:65" x14ac:dyDescent="0.15">
      <c r="B140" s="366"/>
      <c r="C140" s="179">
        <v>43009</v>
      </c>
      <c r="D140" s="180">
        <v>554.90476343002888</v>
      </c>
      <c r="E140" s="181">
        <f>AVERAGE(D132:D137,D126:D130,D139)</f>
        <v>548.05519433620543</v>
      </c>
      <c r="F140" s="182">
        <f t="shared" si="112"/>
        <v>2.5436426677006882E-3</v>
      </c>
      <c r="H140" s="144"/>
      <c r="I140" s="149">
        <f t="shared" si="91"/>
        <v>33.144810231956107</v>
      </c>
      <c r="L140" s="122"/>
      <c r="M140" s="132">
        <f t="shared" si="102"/>
        <v>47.388748044865139</v>
      </c>
      <c r="O140" s="144"/>
      <c r="P140" s="149">
        <f t="shared" si="95"/>
        <v>10083212.562919734</v>
      </c>
      <c r="S140" s="122"/>
      <c r="T140" s="132">
        <f t="shared" si="96"/>
        <v>11927011.78677739</v>
      </c>
      <c r="V140" s="253"/>
      <c r="W140" s="253"/>
      <c r="Y140" s="253"/>
      <c r="Z140" s="253"/>
      <c r="AB140" s="211"/>
      <c r="AC140" s="208">
        <f t="shared" si="103"/>
        <v>11.43</v>
      </c>
      <c r="AE140" s="225"/>
      <c r="AF140" s="226">
        <f t="shared" si="104"/>
        <v>4444584.91</v>
      </c>
      <c r="AH140" s="239">
        <f>AH139*(1+F139)</f>
        <v>65.752156701975949</v>
      </c>
      <c r="AI140" s="251">
        <f>AI139*(1+F139)</f>
        <v>192.98585272976635</v>
      </c>
      <c r="AK140" s="122"/>
      <c r="AL140" s="258">
        <f>AL129</f>
        <v>0</v>
      </c>
      <c r="AM140" s="132">
        <f t="shared" si="105"/>
        <v>184.36544628405747</v>
      </c>
      <c r="AO140" s="363">
        <f t="shared" si="99"/>
        <v>74.082815605215444</v>
      </c>
      <c r="AP140" s="364"/>
      <c r="AR140" s="225"/>
      <c r="AS140" s="226">
        <f t="shared" si="106"/>
        <v>1</v>
      </c>
      <c r="AU140" s="211"/>
      <c r="AV140" s="208">
        <f t="shared" si="107"/>
        <v>2</v>
      </c>
      <c r="AX140" s="225"/>
      <c r="AY140" s="132">
        <f t="shared" si="93"/>
        <v>1010.0233504683798</v>
      </c>
      <c r="BA140" s="211"/>
      <c r="BB140" s="149">
        <f t="shared" si="100"/>
        <v>1198.194989607204</v>
      </c>
      <c r="BD140" s="220">
        <f t="shared" si="108"/>
        <v>11.43</v>
      </c>
      <c r="BE140" s="290">
        <f t="shared" si="101"/>
        <v>1</v>
      </c>
      <c r="BF140" s="132">
        <f t="shared" si="101"/>
        <v>6.4</v>
      </c>
      <c r="BH140" s="203">
        <f t="shared" si="109"/>
        <v>28.67</v>
      </c>
      <c r="BI140" s="286">
        <f t="shared" si="110"/>
        <v>1</v>
      </c>
      <c r="BJ140" s="149">
        <f t="shared" si="111"/>
        <v>11.87</v>
      </c>
      <c r="BL140" s="253"/>
      <c r="BM140" s="253"/>
    </row>
    <row r="141" spans="2:65" x14ac:dyDescent="0.15">
      <c r="B141" s="366"/>
      <c r="C141" s="179">
        <v>43040</v>
      </c>
      <c r="D141" s="180">
        <v>556.26969204589068</v>
      </c>
      <c r="E141" s="181">
        <f>AVERAGE(D132:D137,D127:D130,D139:D140)</f>
        <v>549.3170965374635</v>
      </c>
      <c r="F141" s="182">
        <f t="shared" si="112"/>
        <v>2.3025093353717056E-3</v>
      </c>
      <c r="H141" s="144"/>
      <c r="I141" s="149">
        <f t="shared" si="91"/>
        <v>33.144810231956107</v>
      </c>
      <c r="L141" s="122"/>
      <c r="M141" s="132">
        <f t="shared" si="102"/>
        <v>47.388748044865139</v>
      </c>
      <c r="O141" s="144"/>
      <c r="P141" s="149">
        <f t="shared" si="95"/>
        <v>10083212.562919734</v>
      </c>
      <c r="S141" s="122"/>
      <c r="T141" s="132">
        <f t="shared" si="96"/>
        <v>11927011.78677739</v>
      </c>
      <c r="V141" s="253"/>
      <c r="W141" s="253"/>
      <c r="Y141" s="253"/>
      <c r="Z141" s="253"/>
      <c r="AB141" s="211"/>
      <c r="AC141" s="208">
        <f t="shared" si="103"/>
        <v>11.43</v>
      </c>
      <c r="AE141" s="225"/>
      <c r="AF141" s="226">
        <f t="shared" si="104"/>
        <v>4444584.91</v>
      </c>
      <c r="AH141" s="239">
        <f>AH140*(1+F140)</f>
        <v>65.919406693256448</v>
      </c>
      <c r="AI141" s="251">
        <f>AI140*(1+F140)</f>
        <v>193.47673977903241</v>
      </c>
      <c r="AK141" s="122"/>
      <c r="AL141" s="258">
        <f>AL129</f>
        <v>0</v>
      </c>
      <c r="AM141" s="132">
        <f t="shared" si="105"/>
        <v>184.36544628405747</v>
      </c>
      <c r="AO141" s="363">
        <f t="shared" si="99"/>
        <v>74.082815605215444</v>
      </c>
      <c r="AP141" s="364"/>
      <c r="AR141" s="225"/>
      <c r="AS141" s="226">
        <f t="shared" si="106"/>
        <v>1</v>
      </c>
      <c r="AU141" s="211"/>
      <c r="AV141" s="208">
        <f t="shared" si="107"/>
        <v>2</v>
      </c>
      <c r="AX141" s="225"/>
      <c r="AY141" s="132">
        <f t="shared" si="93"/>
        <v>1010.0233504683798</v>
      </c>
      <c r="BA141" s="211"/>
      <c r="BB141" s="149">
        <f t="shared" si="100"/>
        <v>1198.194989607204</v>
      </c>
      <c r="BD141" s="220">
        <f t="shared" si="108"/>
        <v>11.43</v>
      </c>
      <c r="BE141" s="290">
        <f t="shared" si="101"/>
        <v>1</v>
      </c>
      <c r="BF141" s="132">
        <f t="shared" si="101"/>
        <v>6.4</v>
      </c>
      <c r="BH141" s="203">
        <f t="shared" si="109"/>
        <v>28.67</v>
      </c>
      <c r="BI141" s="286">
        <f t="shared" si="110"/>
        <v>1</v>
      </c>
      <c r="BJ141" s="149">
        <f t="shared" si="111"/>
        <v>11.87</v>
      </c>
      <c r="BL141" s="253"/>
      <c r="BM141" s="253"/>
    </row>
    <row r="142" spans="2:65" ht="11.25" thickBot="1" x14ac:dyDescent="0.2">
      <c r="B142" s="367"/>
      <c r="C142" s="183">
        <v>43070</v>
      </c>
      <c r="D142" s="190">
        <v>554.95514138154635</v>
      </c>
      <c r="E142" s="191">
        <f>AVERAGE(D132:D137,D128:D130,D139:D141)</f>
        <v>549.42210784853557</v>
      </c>
      <c r="F142" s="192">
        <f t="shared" si="112"/>
        <v>1.9116701761878269E-4</v>
      </c>
      <c r="H142" s="154"/>
      <c r="I142" s="147">
        <f t="shared" si="91"/>
        <v>33.144810231956107</v>
      </c>
      <c r="L142" s="138"/>
      <c r="M142" s="136">
        <f t="shared" si="102"/>
        <v>47.388748044865139</v>
      </c>
      <c r="O142" s="154"/>
      <c r="P142" s="147">
        <f t="shared" si="95"/>
        <v>10083212.562919734</v>
      </c>
      <c r="S142" s="138"/>
      <c r="T142" s="136">
        <f t="shared" si="96"/>
        <v>11927011.78677739</v>
      </c>
      <c r="V142" s="253"/>
      <c r="W142" s="253"/>
      <c r="Y142" s="253"/>
      <c r="Z142" s="253"/>
      <c r="AB142" s="213"/>
      <c r="AC142" s="214">
        <f t="shared" si="103"/>
        <v>11.43</v>
      </c>
      <c r="AE142" s="228"/>
      <c r="AF142" s="229">
        <f t="shared" si="104"/>
        <v>4444584.91</v>
      </c>
      <c r="AH142" s="252">
        <f>AH141*(1+F141)</f>
        <v>66.071186742549827</v>
      </c>
      <c r="AI142" s="252">
        <f>AI141*(1+F141)</f>
        <v>193.92222177855092</v>
      </c>
      <c r="AK142" s="138"/>
      <c r="AL142" s="275">
        <f>AL129</f>
        <v>0</v>
      </c>
      <c r="AM142" s="136">
        <f t="shared" si="105"/>
        <v>184.36544628405747</v>
      </c>
      <c r="AO142" s="373">
        <f t="shared" si="99"/>
        <v>74.082815605215444</v>
      </c>
      <c r="AP142" s="374"/>
      <c r="AR142" s="282"/>
      <c r="AS142" s="229">
        <f t="shared" si="106"/>
        <v>1</v>
      </c>
      <c r="AU142" s="284"/>
      <c r="AV142" s="214">
        <f t="shared" si="107"/>
        <v>2</v>
      </c>
      <c r="AX142" s="282"/>
      <c r="AY142" s="136">
        <f t="shared" si="93"/>
        <v>1010.0233504683798</v>
      </c>
      <c r="BA142" s="284"/>
      <c r="BB142" s="147">
        <f t="shared" si="100"/>
        <v>1198.194989607204</v>
      </c>
      <c r="BD142" s="291">
        <f t="shared" si="108"/>
        <v>11.43</v>
      </c>
      <c r="BE142" s="292">
        <f t="shared" si="101"/>
        <v>1</v>
      </c>
      <c r="BF142" s="136">
        <f t="shared" si="101"/>
        <v>6.4</v>
      </c>
      <c r="BH142" s="246">
        <f t="shared" si="109"/>
        <v>28.67</v>
      </c>
      <c r="BI142" s="287">
        <f t="shared" si="110"/>
        <v>1</v>
      </c>
      <c r="BJ142" s="147">
        <f t="shared" si="111"/>
        <v>11.87</v>
      </c>
      <c r="BL142" s="253"/>
      <c r="BM142" s="253"/>
    </row>
    <row r="143" spans="2:65" x14ac:dyDescent="0.15">
      <c r="B143" s="365">
        <v>2018</v>
      </c>
      <c r="C143" s="175">
        <v>43101</v>
      </c>
      <c r="D143" s="187">
        <v>553.16</v>
      </c>
      <c r="E143" s="188">
        <f>AVERAGE(D132:D137,D129:D130,D139:D142)</f>
        <v>550.40709847701464</v>
      </c>
      <c r="F143" s="189">
        <f>(E143-E142)/E142</f>
        <v>1.7927757445657965E-3</v>
      </c>
      <c r="H143" s="142"/>
      <c r="I143" s="153">
        <f>(1+(($E$142-$E$14)/$E$14))*$H$20*0.98</f>
        <v>33.434405048837846</v>
      </c>
      <c r="L143" s="120"/>
      <c r="M143" s="137">
        <f>(1+((E142-$E$14)/$E$14))*L$20*0.98</f>
        <v>47.802795846504878</v>
      </c>
      <c r="O143" s="142"/>
      <c r="P143" s="153">
        <f>(1+((E142-$E$14)/$E$14))*O$20*0.98</f>
        <v>10171312.210354827</v>
      </c>
      <c r="S143" s="120"/>
      <c r="T143" s="137">
        <f>(1+((E142-$E$14)/$E$14))*S$20*0.98</f>
        <v>12031221.186987143</v>
      </c>
      <c r="V143" s="253"/>
      <c r="W143" s="253"/>
      <c r="Y143" s="253"/>
      <c r="Z143" s="253"/>
      <c r="AB143" s="210">
        <v>11.43</v>
      </c>
      <c r="AC143" s="153">
        <f>AB143*0.98*(1+((E142-$E$129)/$E$129))</f>
        <v>11.294041924202352</v>
      </c>
      <c r="AE143" s="223">
        <f>+AE131</f>
        <v>4444584.91</v>
      </c>
      <c r="AF143" s="224">
        <f>AE143*0.98*(1+((E142-$E$129)/$E$129))</f>
        <v>4391717.2623986993</v>
      </c>
      <c r="AH143" s="249">
        <f>AH142*(1+F142)*0.98</f>
        <v>64.762141026784533</v>
      </c>
      <c r="AI143" s="250">
        <f>AI142*(1+F142)*0.98</f>
        <v>190.08010744511154</v>
      </c>
      <c r="AK143" s="120"/>
      <c r="AL143" s="277">
        <v>0</v>
      </c>
      <c r="AM143" s="280">
        <f>AL$20*0.98*(1+((E142-$E$14)/$E$14))</f>
        <v>185.97629508006221</v>
      </c>
      <c r="AO143" s="379">
        <f>+(AC143+((AY143)/66.17)+M143)</f>
        <v>74.179341616766152</v>
      </c>
      <c r="AP143" s="380"/>
      <c r="AR143" s="223">
        <v>1</v>
      </c>
      <c r="AS143" s="224">
        <f>AR143*0.98*(1+((E142-$E$129)/$E$129))</f>
        <v>0.98810515522330289</v>
      </c>
      <c r="AU143" s="210">
        <f>AU131</f>
        <v>2</v>
      </c>
      <c r="AV143" s="207">
        <f>AU143*0.98*(1+((E142-$E$129)/$E$129))</f>
        <v>1.9762103104466058</v>
      </c>
      <c r="AX143" s="223">
        <v>1010.0233504683798</v>
      </c>
      <c r="AY143" s="281">
        <f>(AX143)*0.98*(1+((E142-$E$129)/$E$129))</f>
        <v>998.00927949371896</v>
      </c>
      <c r="BA143" s="210">
        <v>1198.194989607204</v>
      </c>
      <c r="BB143" s="283">
        <f>(BA143)*0.98*(1+((E142-$E$129)/$E$129))</f>
        <v>1183.9426461936102</v>
      </c>
      <c r="BD143" s="288">
        <f>11.43*0.98*(1+((E142-$E$129)/$E$129))</f>
        <v>11.294041924202352</v>
      </c>
      <c r="BE143" s="289">
        <f>1*0.98*(1+((E142-$E$129)/$E$129))</f>
        <v>0.98810515522330289</v>
      </c>
      <c r="BF143" s="281">
        <f>6.4*0.98*(1+((E142-$E$129)/$E$129))</f>
        <v>6.3238729934291387</v>
      </c>
      <c r="BH143" s="206">
        <f>25.22*0.98*(1+((E142-$E$129)/$E$129))</f>
        <v>24.920012014731697</v>
      </c>
      <c r="BI143" s="285">
        <f>1*0.98*(1+((E142-$E$129)/$E$129))</f>
        <v>0.98810515522330289</v>
      </c>
      <c r="BJ143" s="283">
        <f>11.87*0.98*(1+((E142-$E$129)/$E$129))</f>
        <v>11.728808192500605</v>
      </c>
      <c r="BL143" s="253"/>
      <c r="BM143" s="253"/>
    </row>
    <row r="144" spans="2:65" x14ac:dyDescent="0.15">
      <c r="B144" s="366"/>
      <c r="C144" s="179">
        <v>43132</v>
      </c>
      <c r="D144" s="180">
        <v>554.45000000000005</v>
      </c>
      <c r="E144" s="181">
        <f>AVERAGE(D132:D137,D130,D139:D143)</f>
        <v>550.80837475117107</v>
      </c>
      <c r="F144" s="182">
        <f>(E144-E143)/E143</f>
        <v>7.2905359554186009E-4</v>
      </c>
      <c r="H144" s="144"/>
      <c r="I144" s="149">
        <f>+I143</f>
        <v>33.434405048837846</v>
      </c>
      <c r="L144" s="122"/>
      <c r="M144" s="132">
        <f>+M143</f>
        <v>47.802795846504878</v>
      </c>
      <c r="O144" s="144"/>
      <c r="P144" s="149">
        <f>+P143</f>
        <v>10171312.210354827</v>
      </c>
      <c r="S144" s="122"/>
      <c r="T144" s="132">
        <f>+T143</f>
        <v>12031221.186987143</v>
      </c>
      <c r="V144" s="253"/>
      <c r="W144" s="253"/>
      <c r="Y144" s="253"/>
      <c r="Z144" s="253"/>
      <c r="AB144" s="144"/>
      <c r="AC144" s="149">
        <f>+AC143</f>
        <v>11.294041924202352</v>
      </c>
      <c r="AE144" s="225"/>
      <c r="AF144" s="226">
        <f>+AF143</f>
        <v>4391717.2623986993</v>
      </c>
      <c r="AH144" s="239">
        <f t="shared" ref="AH144:AH154" si="113">AH143*(1+F143)</f>
        <v>64.878245022383496</v>
      </c>
      <c r="AI144" s="251">
        <f t="shared" ref="AI144:AI154" si="114">AI143*(1+F143)</f>
        <v>190.42087845126358</v>
      </c>
      <c r="AK144" s="122"/>
      <c r="AL144" s="258">
        <f>AL143</f>
        <v>0</v>
      </c>
      <c r="AM144" s="132">
        <f>+AM143</f>
        <v>185.97629508006221</v>
      </c>
      <c r="AO144" s="363">
        <f>+AO143</f>
        <v>74.179341616766152</v>
      </c>
      <c r="AP144" s="364"/>
      <c r="AR144" s="225"/>
      <c r="AS144" s="226">
        <f>+AS143</f>
        <v>0.98810515522330289</v>
      </c>
      <c r="AU144" s="211"/>
      <c r="AV144" s="208">
        <f>+AV143</f>
        <v>1.9762103104466058</v>
      </c>
      <c r="AX144" s="225"/>
      <c r="AY144" s="132">
        <f>+AY143</f>
        <v>998.00927949371896</v>
      </c>
      <c r="BA144" s="211"/>
      <c r="BB144" s="149">
        <f>+BB143</f>
        <v>1183.9426461936102</v>
      </c>
      <c r="BD144" s="220">
        <f>+BD143</f>
        <v>11.294041924202352</v>
      </c>
      <c r="BE144" s="290">
        <f t="shared" ref="BE144:BF144" si="115">+BE143</f>
        <v>0.98810515522330289</v>
      </c>
      <c r="BF144" s="132">
        <f t="shared" si="115"/>
        <v>6.3238729934291387</v>
      </c>
      <c r="BH144" s="203">
        <f>+BH143</f>
        <v>24.920012014731697</v>
      </c>
      <c r="BI144" s="286">
        <f t="shared" ref="BI144:BJ144" si="116">+BI143</f>
        <v>0.98810515522330289</v>
      </c>
      <c r="BJ144" s="149">
        <f t="shared" si="116"/>
        <v>11.728808192500605</v>
      </c>
      <c r="BL144" s="253"/>
      <c r="BM144" s="253"/>
    </row>
    <row r="145" spans="2:65" x14ac:dyDescent="0.15">
      <c r="B145" s="366"/>
      <c r="C145" s="179">
        <v>43160</v>
      </c>
      <c r="D145" s="180">
        <v>549.01</v>
      </c>
      <c r="E145" s="181">
        <f>AVERAGE(D132:D137,D139:D144)</f>
        <v>551.58924149261543</v>
      </c>
      <c r="F145" s="182">
        <f>(E145-E144)/E144</f>
        <v>1.4176740536981024E-3</v>
      </c>
      <c r="H145" s="144"/>
      <c r="I145" s="149">
        <f t="shared" ref="I145:I153" si="117">+I144</f>
        <v>33.434405048837846</v>
      </c>
      <c r="L145" s="122"/>
      <c r="M145" s="132">
        <f t="shared" ref="M145:M153" si="118">+M144</f>
        <v>47.802795846504878</v>
      </c>
      <c r="O145" s="144"/>
      <c r="P145" s="149">
        <f t="shared" ref="P145:P153" si="119">+P144</f>
        <v>10171312.210354827</v>
      </c>
      <c r="S145" s="122"/>
      <c r="T145" s="132">
        <f t="shared" ref="T145:T153" si="120">+T144</f>
        <v>12031221.186987143</v>
      </c>
      <c r="V145" s="253"/>
      <c r="W145" s="253"/>
      <c r="Y145" s="253"/>
      <c r="Z145" s="253"/>
      <c r="AB145" s="144"/>
      <c r="AC145" s="149">
        <f t="shared" ref="AC145:AC153" si="121">+AC144</f>
        <v>11.294041924202352</v>
      </c>
      <c r="AE145" s="225"/>
      <c r="AF145" s="226">
        <f t="shared" ref="AF145:AF153" si="122">+AF144</f>
        <v>4391717.2623986993</v>
      </c>
      <c r="AH145" s="239">
        <f t="shared" si="113"/>
        <v>64.925544740189508</v>
      </c>
      <c r="AI145" s="251">
        <f t="shared" si="114"/>
        <v>190.5597054773647</v>
      </c>
      <c r="AK145" s="122"/>
      <c r="AL145" s="258">
        <f>AL143</f>
        <v>0</v>
      </c>
      <c r="AM145" s="132">
        <f>+AM144</f>
        <v>185.97629508006221</v>
      </c>
      <c r="AO145" s="363">
        <f t="shared" ref="AO145:AO147" si="123">+AO144</f>
        <v>74.179341616766152</v>
      </c>
      <c r="AP145" s="364"/>
      <c r="AR145" s="225"/>
      <c r="AS145" s="226">
        <f t="shared" ref="AS145:AS153" si="124">+AS144</f>
        <v>0.98810515522330289</v>
      </c>
      <c r="AU145" s="211"/>
      <c r="AV145" s="208">
        <f t="shared" ref="AV145:AV154" si="125">+AV144</f>
        <v>1.9762103104466058</v>
      </c>
      <c r="AX145" s="225"/>
      <c r="AY145" s="132">
        <f t="shared" ref="AY145:AY153" si="126">+AY144</f>
        <v>998.00927949371896</v>
      </c>
      <c r="BA145" s="211"/>
      <c r="BB145" s="149">
        <f t="shared" ref="BB145:BB153" si="127">+BB144</f>
        <v>1183.9426461936102</v>
      </c>
      <c r="BD145" s="220">
        <f>+BD144</f>
        <v>11.294041924202352</v>
      </c>
      <c r="BE145" s="290">
        <f>+BE144</f>
        <v>0.98810515522330289</v>
      </c>
      <c r="BF145" s="132">
        <f>+BF144</f>
        <v>6.3238729934291387</v>
      </c>
      <c r="BH145" s="203">
        <f>+BH144</f>
        <v>24.920012014731697</v>
      </c>
      <c r="BI145" s="286">
        <f>+BI144</f>
        <v>0.98810515522330289</v>
      </c>
      <c r="BJ145" s="149">
        <f>+BJ144</f>
        <v>11.728808192500605</v>
      </c>
      <c r="BL145" s="253"/>
      <c r="BM145" s="253"/>
    </row>
    <row r="146" spans="2:65" x14ac:dyDescent="0.15">
      <c r="B146" s="366"/>
      <c r="C146" s="179">
        <v>43191</v>
      </c>
      <c r="D146" s="180">
        <v>549.44000000000005</v>
      </c>
      <c r="E146" s="181">
        <f>AVERAGE(D133:D137,D139:D145)</f>
        <v>551.96824622568533</v>
      </c>
      <c r="F146" s="182">
        <f t="shared" ref="F146:F151" si="128">(E146-E145)/E145</f>
        <v>6.8711407794015027E-4</v>
      </c>
      <c r="H146" s="144"/>
      <c r="I146" s="149">
        <f t="shared" si="117"/>
        <v>33.434405048837846</v>
      </c>
      <c r="L146" s="122"/>
      <c r="M146" s="132">
        <f t="shared" si="118"/>
        <v>47.802795846504878</v>
      </c>
      <c r="O146" s="144"/>
      <c r="P146" s="149">
        <f t="shared" si="119"/>
        <v>10171312.210354827</v>
      </c>
      <c r="S146" s="122"/>
      <c r="T146" s="132">
        <f t="shared" si="120"/>
        <v>12031221.186987143</v>
      </c>
      <c r="V146" s="253"/>
      <c r="W146" s="253"/>
      <c r="Y146" s="253"/>
      <c r="Z146" s="253"/>
      <c r="AB146" s="144"/>
      <c r="AC146" s="149">
        <f t="shared" si="121"/>
        <v>11.294041924202352</v>
      </c>
      <c r="AE146" s="225"/>
      <c r="AF146" s="226">
        <f t="shared" si="122"/>
        <v>4391717.2623986993</v>
      </c>
      <c r="AH146" s="239">
        <f t="shared" si="113"/>
        <v>65.017588000389892</v>
      </c>
      <c r="AI146" s="251">
        <f t="shared" si="114"/>
        <v>190.82985702750034</v>
      </c>
      <c r="AK146" s="122"/>
      <c r="AL146" s="258">
        <f>AL143</f>
        <v>0</v>
      </c>
      <c r="AM146" s="132">
        <f t="shared" ref="AM146:AM154" si="129">+AM145</f>
        <v>185.97629508006221</v>
      </c>
      <c r="AO146" s="363">
        <f t="shared" si="123"/>
        <v>74.179341616766152</v>
      </c>
      <c r="AP146" s="364"/>
      <c r="AR146" s="225"/>
      <c r="AS146" s="226">
        <f t="shared" si="124"/>
        <v>0.98810515522330289</v>
      </c>
      <c r="AU146" s="211"/>
      <c r="AV146" s="208">
        <f t="shared" si="125"/>
        <v>1.9762103104466058</v>
      </c>
      <c r="AX146" s="225"/>
      <c r="AY146" s="132">
        <f t="shared" si="126"/>
        <v>998.00927949371896</v>
      </c>
      <c r="BA146" s="211"/>
      <c r="BB146" s="149">
        <f t="shared" si="127"/>
        <v>1183.9426461936102</v>
      </c>
      <c r="BD146" s="220">
        <f t="shared" ref="BD146:BF154" si="130">+BD145</f>
        <v>11.294041924202352</v>
      </c>
      <c r="BE146" s="290">
        <f t="shared" si="130"/>
        <v>0.98810515522330289</v>
      </c>
      <c r="BF146" s="132">
        <f t="shared" si="130"/>
        <v>6.3238729934291387</v>
      </c>
      <c r="BH146" s="203">
        <f t="shared" ref="BH146:BJ154" si="131">+BH145</f>
        <v>24.920012014731697</v>
      </c>
      <c r="BI146" s="286">
        <f t="shared" si="131"/>
        <v>0.98810515522330289</v>
      </c>
      <c r="BJ146" s="149">
        <f t="shared" si="131"/>
        <v>11.728808192500605</v>
      </c>
      <c r="BL146" s="253"/>
      <c r="BM146" s="253"/>
    </row>
    <row r="147" spans="2:65" x14ac:dyDescent="0.15">
      <c r="B147" s="366"/>
      <c r="C147" s="179">
        <v>43221</v>
      </c>
      <c r="D147" s="180">
        <v>556.49</v>
      </c>
      <c r="E147" s="181">
        <f>AVERAGE(D134:D137,D139:D146)</f>
        <v>552.06241289235197</v>
      </c>
      <c r="F147" s="182">
        <f t="shared" si="128"/>
        <v>1.7060160128873716E-4</v>
      </c>
      <c r="H147" s="144"/>
      <c r="I147" s="149">
        <f t="shared" si="117"/>
        <v>33.434405048837846</v>
      </c>
      <c r="L147" s="122"/>
      <c r="M147" s="132">
        <f t="shared" si="118"/>
        <v>47.802795846504878</v>
      </c>
      <c r="O147" s="144"/>
      <c r="P147" s="149">
        <f t="shared" si="119"/>
        <v>10171312.210354827</v>
      </c>
      <c r="S147" s="122"/>
      <c r="T147" s="132">
        <f t="shared" si="120"/>
        <v>12031221.186987143</v>
      </c>
      <c r="V147" s="253"/>
      <c r="W147" s="253"/>
      <c r="Y147" s="253"/>
      <c r="Z147" s="253"/>
      <c r="AB147" s="144"/>
      <c r="AC147" s="149">
        <f t="shared" si="121"/>
        <v>11.294041924202352</v>
      </c>
      <c r="AE147" s="225"/>
      <c r="AF147" s="226">
        <f t="shared" si="122"/>
        <v>4391717.2623986993</v>
      </c>
      <c r="AH147" s="239">
        <f t="shared" si="113"/>
        <v>65.062262500418669</v>
      </c>
      <c r="AI147" s="251">
        <f t="shared" si="114"/>
        <v>190.96097890875524</v>
      </c>
      <c r="AK147" s="122"/>
      <c r="AL147" s="258">
        <f>AL143</f>
        <v>0</v>
      </c>
      <c r="AM147" s="132">
        <f t="shared" si="129"/>
        <v>185.97629508006221</v>
      </c>
      <c r="AO147" s="363">
        <f t="shared" si="123"/>
        <v>74.179341616766152</v>
      </c>
      <c r="AP147" s="364"/>
      <c r="AR147" s="225"/>
      <c r="AS147" s="226">
        <f t="shared" si="124"/>
        <v>0.98810515522330289</v>
      </c>
      <c r="AU147" s="211"/>
      <c r="AV147" s="208">
        <f t="shared" si="125"/>
        <v>1.9762103104466058</v>
      </c>
      <c r="AX147" s="225"/>
      <c r="AY147" s="132">
        <f t="shared" si="126"/>
        <v>998.00927949371896</v>
      </c>
      <c r="BA147" s="211"/>
      <c r="BB147" s="149">
        <f t="shared" si="127"/>
        <v>1183.9426461936102</v>
      </c>
      <c r="BD147" s="220">
        <f t="shared" si="130"/>
        <v>11.294041924202352</v>
      </c>
      <c r="BE147" s="290">
        <f t="shared" si="130"/>
        <v>0.98810515522330289</v>
      </c>
      <c r="BF147" s="132">
        <f t="shared" si="130"/>
        <v>6.3238729934291387</v>
      </c>
      <c r="BH147" s="203">
        <f t="shared" si="131"/>
        <v>24.920012014731697</v>
      </c>
      <c r="BI147" s="286">
        <f t="shared" si="131"/>
        <v>0.98810515522330289</v>
      </c>
      <c r="BJ147" s="149">
        <f t="shared" si="131"/>
        <v>11.728808192500605</v>
      </c>
      <c r="BL147" s="253"/>
      <c r="BM147" s="253"/>
    </row>
    <row r="148" spans="2:65" x14ac:dyDescent="0.15">
      <c r="B148" s="366"/>
      <c r="C148" s="179">
        <v>43252</v>
      </c>
      <c r="D148" s="180">
        <v>560.59</v>
      </c>
      <c r="E148" s="181">
        <f>AVERAGE(D135:D137,D139:D147)</f>
        <v>552.90074622568534</v>
      </c>
      <c r="F148" s="182">
        <f t="shared" si="128"/>
        <v>1.5185481093363902E-3</v>
      </c>
      <c r="H148" s="144"/>
      <c r="I148" s="149">
        <f t="shared" si="117"/>
        <v>33.434405048837846</v>
      </c>
      <c r="L148" s="122"/>
      <c r="M148" s="132">
        <f t="shared" si="118"/>
        <v>47.802795846504878</v>
      </c>
      <c r="O148" s="144"/>
      <c r="P148" s="149">
        <f t="shared" si="119"/>
        <v>10171312.210354827</v>
      </c>
      <c r="S148" s="122"/>
      <c r="T148" s="132">
        <f t="shared" si="120"/>
        <v>12031221.186987143</v>
      </c>
      <c r="V148" s="253"/>
      <c r="W148" s="253"/>
      <c r="Y148" s="253"/>
      <c r="Z148" s="253"/>
      <c r="AB148" s="144"/>
      <c r="AC148" s="149">
        <f t="shared" si="121"/>
        <v>11.294041924202352</v>
      </c>
      <c r="AE148" s="225"/>
      <c r="AF148" s="226">
        <f t="shared" si="122"/>
        <v>4391717.2623986993</v>
      </c>
      <c r="AH148" s="239">
        <f t="shared" si="113"/>
        <v>65.073362226584706</v>
      </c>
      <c r="AI148" s="251">
        <f t="shared" si="114"/>
        <v>190.99355715754075</v>
      </c>
      <c r="AK148" s="122"/>
      <c r="AL148" s="258">
        <f t="shared" ref="AL148:AL153" si="132">AL144</f>
        <v>0</v>
      </c>
      <c r="AM148" s="132">
        <f t="shared" si="129"/>
        <v>185.97629508006221</v>
      </c>
      <c r="AO148" s="377">
        <f>AC148+(AY148/66.17)+M148+((0.2006*AC148)*0.1)</f>
        <v>74.405900097765652</v>
      </c>
      <c r="AP148" s="378"/>
      <c r="AR148" s="225"/>
      <c r="AS148" s="226">
        <f t="shared" si="124"/>
        <v>0.98810515522330289</v>
      </c>
      <c r="AU148" s="211"/>
      <c r="AV148" s="208">
        <f t="shared" si="125"/>
        <v>1.9762103104466058</v>
      </c>
      <c r="AX148" s="225"/>
      <c r="AY148" s="132">
        <f t="shared" si="126"/>
        <v>998.00927949371896</v>
      </c>
      <c r="BA148" s="211"/>
      <c r="BB148" s="149">
        <f t="shared" si="127"/>
        <v>1183.9426461936102</v>
      </c>
      <c r="BD148" s="220">
        <f t="shared" si="130"/>
        <v>11.294041924202352</v>
      </c>
      <c r="BE148" s="290">
        <f t="shared" si="130"/>
        <v>0.98810515522330289</v>
      </c>
      <c r="BF148" s="132">
        <f t="shared" si="130"/>
        <v>6.3238729934291387</v>
      </c>
      <c r="BH148" s="203">
        <f t="shared" si="131"/>
        <v>24.920012014731697</v>
      </c>
      <c r="BI148" s="286">
        <f t="shared" si="131"/>
        <v>0.98810515522330289</v>
      </c>
      <c r="BJ148" s="149">
        <f t="shared" si="131"/>
        <v>11.728808192500605</v>
      </c>
      <c r="BL148" s="253"/>
      <c r="BM148" s="253"/>
    </row>
    <row r="149" spans="2:65" x14ac:dyDescent="0.15">
      <c r="B149" s="366"/>
      <c r="C149" s="179">
        <v>43282</v>
      </c>
      <c r="D149" s="180">
        <v>557.74416746640202</v>
      </c>
      <c r="E149" s="181">
        <f>AVERAGE(D136:D137,D139:D148)</f>
        <v>553.40324622568539</v>
      </c>
      <c r="F149" s="182">
        <f t="shared" si="128"/>
        <v>9.0884304901072072E-4</v>
      </c>
      <c r="H149" s="144"/>
      <c r="I149" s="149">
        <f t="shared" si="117"/>
        <v>33.434405048837846</v>
      </c>
      <c r="L149" s="122"/>
      <c r="M149" s="132">
        <f t="shared" si="118"/>
        <v>47.802795846504878</v>
      </c>
      <c r="O149" s="144"/>
      <c r="P149" s="149">
        <f t="shared" si="119"/>
        <v>10171312.210354827</v>
      </c>
      <c r="S149" s="122"/>
      <c r="T149" s="132">
        <f t="shared" si="120"/>
        <v>12031221.186987143</v>
      </c>
      <c r="V149" s="253"/>
      <c r="W149" s="253"/>
      <c r="Y149" s="253"/>
      <c r="Z149" s="253"/>
      <c r="AB149" s="144"/>
      <c r="AC149" s="149">
        <f t="shared" si="121"/>
        <v>11.294041924202352</v>
      </c>
      <c r="AE149" s="225"/>
      <c r="AF149" s="226">
        <f t="shared" si="122"/>
        <v>4391717.2623986993</v>
      </c>
      <c r="AH149" s="239">
        <f t="shared" si="113"/>
        <v>65.172179257762053</v>
      </c>
      <c r="AI149" s="251">
        <f t="shared" si="114"/>
        <v>191.28359006265779</v>
      </c>
      <c r="AK149" s="122"/>
      <c r="AL149" s="258">
        <f t="shared" si="132"/>
        <v>0</v>
      </c>
      <c r="AM149" s="132">
        <f t="shared" si="129"/>
        <v>185.97629508006221</v>
      </c>
      <c r="AO149" s="363">
        <f>AC149+(AY149/66.17)+M149+((0.2006*AC149)*0.1)</f>
        <v>74.405900097765652</v>
      </c>
      <c r="AP149" s="364"/>
      <c r="AR149" s="225"/>
      <c r="AS149" s="226">
        <f t="shared" si="124"/>
        <v>0.98810515522330289</v>
      </c>
      <c r="AU149" s="211"/>
      <c r="AV149" s="208">
        <f t="shared" si="125"/>
        <v>1.9762103104466058</v>
      </c>
      <c r="AX149" s="225"/>
      <c r="AY149" s="132">
        <f t="shared" si="126"/>
        <v>998.00927949371896</v>
      </c>
      <c r="BA149" s="211"/>
      <c r="BB149" s="149">
        <f t="shared" si="127"/>
        <v>1183.9426461936102</v>
      </c>
      <c r="BD149" s="220">
        <f t="shared" si="130"/>
        <v>11.294041924202352</v>
      </c>
      <c r="BE149" s="290">
        <f t="shared" si="130"/>
        <v>0.98810515522330289</v>
      </c>
      <c r="BF149" s="132">
        <f t="shared" si="130"/>
        <v>6.3238729934291387</v>
      </c>
      <c r="BH149" s="203">
        <f t="shared" si="131"/>
        <v>24.920012014731697</v>
      </c>
      <c r="BI149" s="286">
        <f t="shared" si="131"/>
        <v>0.98810515522330289</v>
      </c>
      <c r="BJ149" s="149">
        <f t="shared" si="131"/>
        <v>11.728808192500605</v>
      </c>
      <c r="BL149" s="253"/>
      <c r="BM149" s="253"/>
    </row>
    <row r="150" spans="2:65" x14ac:dyDescent="0.15">
      <c r="B150" s="366"/>
      <c r="C150" s="179">
        <v>43313</v>
      </c>
      <c r="D150" s="180">
        <v>569.05576801990367</v>
      </c>
      <c r="E150" s="181">
        <f t="shared" ref="E150:E154" si="133">AVERAGE(D138:D149)</f>
        <v>553.78790971393448</v>
      </c>
      <c r="F150" s="182">
        <f t="shared" si="128"/>
        <v>6.9508715547399928E-4</v>
      </c>
      <c r="H150" s="144"/>
      <c r="I150" s="149">
        <f t="shared" si="117"/>
        <v>33.434405048837846</v>
      </c>
      <c r="L150" s="122"/>
      <c r="M150" s="132">
        <f t="shared" si="118"/>
        <v>47.802795846504878</v>
      </c>
      <c r="O150" s="144"/>
      <c r="P150" s="149">
        <f t="shared" si="119"/>
        <v>10171312.210354827</v>
      </c>
      <c r="S150" s="122"/>
      <c r="T150" s="132">
        <f t="shared" si="120"/>
        <v>12031221.186987143</v>
      </c>
      <c r="V150" s="253"/>
      <c r="W150" s="253"/>
      <c r="Y150" s="253"/>
      <c r="Z150" s="253"/>
      <c r="AB150" s="144"/>
      <c r="AC150" s="149">
        <f t="shared" si="121"/>
        <v>11.294041924202352</v>
      </c>
      <c r="AE150" s="225"/>
      <c r="AF150" s="226">
        <f t="shared" si="122"/>
        <v>4391717.2623986993</v>
      </c>
      <c r="AH150" s="239">
        <f t="shared" si="113"/>
        <v>65.231410539869358</v>
      </c>
      <c r="AI150" s="251">
        <f t="shared" si="114"/>
        <v>191.45743682387607</v>
      </c>
      <c r="AK150" s="122"/>
      <c r="AL150" s="258">
        <f t="shared" si="132"/>
        <v>0</v>
      </c>
      <c r="AM150" s="132">
        <f t="shared" si="129"/>
        <v>185.97629508006221</v>
      </c>
      <c r="AO150" s="363">
        <f>AC150+(AY150/66.17)+M150+((0.2006*AC150)*0.1)</f>
        <v>74.405900097765652</v>
      </c>
      <c r="AP150" s="364"/>
      <c r="AR150" s="225"/>
      <c r="AS150" s="226">
        <f t="shared" si="124"/>
        <v>0.98810515522330289</v>
      </c>
      <c r="AU150" s="211"/>
      <c r="AV150" s="208">
        <f t="shared" si="125"/>
        <v>1.9762103104466058</v>
      </c>
      <c r="AX150" s="225"/>
      <c r="AY150" s="132">
        <f t="shared" si="126"/>
        <v>998.00927949371896</v>
      </c>
      <c r="BA150" s="211"/>
      <c r="BB150" s="149">
        <f t="shared" si="127"/>
        <v>1183.9426461936102</v>
      </c>
      <c r="BD150" s="220">
        <f t="shared" si="130"/>
        <v>11.294041924202352</v>
      </c>
      <c r="BE150" s="290">
        <f t="shared" si="130"/>
        <v>0.98810515522330289</v>
      </c>
      <c r="BF150" s="132">
        <f t="shared" si="130"/>
        <v>6.3238729934291387</v>
      </c>
      <c r="BH150" s="203">
        <f t="shared" si="131"/>
        <v>24.920012014731697</v>
      </c>
      <c r="BI150" s="286">
        <f t="shared" si="131"/>
        <v>0.98810515522330289</v>
      </c>
      <c r="BJ150" s="149">
        <f t="shared" si="131"/>
        <v>11.728808192500605</v>
      </c>
      <c r="BL150" s="253"/>
      <c r="BM150" s="253"/>
    </row>
    <row r="151" spans="2:65" x14ac:dyDescent="0.15">
      <c r="B151" s="366"/>
      <c r="C151" s="179">
        <v>43344</v>
      </c>
      <c r="D151" s="180">
        <v>567.29129927417989</v>
      </c>
      <c r="E151" s="181">
        <f t="shared" si="133"/>
        <v>555.43162769531421</v>
      </c>
      <c r="F151" s="182">
        <f t="shared" si="128"/>
        <v>2.9681362712104067E-3</v>
      </c>
      <c r="H151" s="144"/>
      <c r="I151" s="149">
        <f t="shared" si="117"/>
        <v>33.434405048837846</v>
      </c>
      <c r="L151" s="122"/>
      <c r="M151" s="132">
        <f t="shared" si="118"/>
        <v>47.802795846504878</v>
      </c>
      <c r="O151" s="144"/>
      <c r="P151" s="149">
        <f t="shared" si="119"/>
        <v>10171312.210354827</v>
      </c>
      <c r="S151" s="122"/>
      <c r="T151" s="132">
        <f t="shared" si="120"/>
        <v>12031221.186987143</v>
      </c>
      <c r="V151" s="253"/>
      <c r="W151" s="253"/>
      <c r="Y151" s="253"/>
      <c r="Z151" s="253"/>
      <c r="AB151" s="144"/>
      <c r="AC151" s="149">
        <f t="shared" si="121"/>
        <v>11.294041924202352</v>
      </c>
      <c r="AE151" s="225"/>
      <c r="AF151" s="226">
        <f t="shared" si="122"/>
        <v>4391717.2623986993</v>
      </c>
      <c r="AH151" s="239">
        <f t="shared" si="113"/>
        <v>65.276752055469075</v>
      </c>
      <c r="AI151" s="251">
        <f t="shared" si="114"/>
        <v>191.59051642903233</v>
      </c>
      <c r="AK151" s="122"/>
      <c r="AL151" s="258">
        <f t="shared" si="132"/>
        <v>0</v>
      </c>
      <c r="AM151" s="132">
        <f t="shared" si="129"/>
        <v>185.97629508006221</v>
      </c>
      <c r="AO151" s="363">
        <f>AC151+(AY151/66.17)+M151+((0.2006*AC151)*0.1)</f>
        <v>74.405900097765652</v>
      </c>
      <c r="AP151" s="364"/>
      <c r="AR151" s="225"/>
      <c r="AS151" s="226">
        <f t="shared" si="124"/>
        <v>0.98810515522330289</v>
      </c>
      <c r="AU151" s="211"/>
      <c r="AV151" s="208">
        <f t="shared" si="125"/>
        <v>1.9762103104466058</v>
      </c>
      <c r="AX151" s="225"/>
      <c r="AY151" s="132">
        <f t="shared" si="126"/>
        <v>998.00927949371896</v>
      </c>
      <c r="BA151" s="211"/>
      <c r="BB151" s="149">
        <f t="shared" si="127"/>
        <v>1183.9426461936102</v>
      </c>
      <c r="BD151" s="220">
        <f>+BD150</f>
        <v>11.294041924202352</v>
      </c>
      <c r="BE151" s="290">
        <f>+BE150</f>
        <v>0.98810515522330289</v>
      </c>
      <c r="BF151" s="132">
        <f>+BF150</f>
        <v>6.3238729934291387</v>
      </c>
      <c r="BH151" s="203">
        <f>+BH150</f>
        <v>24.920012014731697</v>
      </c>
      <c r="BI151" s="286">
        <f>+BI150</f>
        <v>0.98810515522330289</v>
      </c>
      <c r="BJ151" s="149">
        <f>+BJ150</f>
        <v>11.728808192500605</v>
      </c>
      <c r="BL151" s="253"/>
      <c r="BM151" s="253"/>
    </row>
    <row r="152" spans="2:65" x14ac:dyDescent="0.15">
      <c r="B152" s="366"/>
      <c r="C152" s="179">
        <v>43374</v>
      </c>
      <c r="D152" s="180">
        <v>585.36066214914854</v>
      </c>
      <c r="E152" s="181">
        <f t="shared" si="133"/>
        <v>556.94673596816267</v>
      </c>
      <c r="F152" s="182">
        <f t="shared" ref="F152:F166" si="134">(E152-E151)/E151</f>
        <v>2.7278033826327011E-3</v>
      </c>
      <c r="H152" s="144"/>
      <c r="I152" s="149">
        <f t="shared" si="117"/>
        <v>33.434405048837846</v>
      </c>
      <c r="L152" s="122"/>
      <c r="M152" s="132">
        <f t="shared" si="118"/>
        <v>47.802795846504878</v>
      </c>
      <c r="O152" s="144"/>
      <c r="P152" s="149">
        <f t="shared" si="119"/>
        <v>10171312.210354827</v>
      </c>
      <c r="S152" s="122"/>
      <c r="T152" s="132">
        <f t="shared" si="120"/>
        <v>12031221.186987143</v>
      </c>
      <c r="V152" s="253"/>
      <c r="W152" s="253"/>
      <c r="Y152" s="253"/>
      <c r="Z152" s="253"/>
      <c r="AB152" s="144"/>
      <c r="AC152" s="149">
        <f t="shared" si="121"/>
        <v>11.294041924202352</v>
      </c>
      <c r="AE152" s="225"/>
      <c r="AF152" s="226">
        <f t="shared" si="122"/>
        <v>4391717.2623986993</v>
      </c>
      <c r="AH152" s="239">
        <f t="shared" si="113"/>
        <v>65.470502350911715</v>
      </c>
      <c r="AI152" s="251">
        <f t="shared" si="114"/>
        <v>192.15918319006528</v>
      </c>
      <c r="AK152" s="122"/>
      <c r="AL152" s="258">
        <f t="shared" si="132"/>
        <v>0</v>
      </c>
      <c r="AM152" s="132">
        <f t="shared" si="129"/>
        <v>185.97629508006221</v>
      </c>
      <c r="AO152" s="363">
        <f>AC152+(AY152/66.17)+M152+((0.2006*AC152)*0.1)</f>
        <v>74.405900097765652</v>
      </c>
      <c r="AP152" s="364"/>
      <c r="AR152" s="225"/>
      <c r="AS152" s="226">
        <f>+AS151</f>
        <v>0.98810515522330289</v>
      </c>
      <c r="AU152" s="211"/>
      <c r="AV152" s="208">
        <f>+AV151</f>
        <v>1.9762103104466058</v>
      </c>
      <c r="AX152" s="225"/>
      <c r="AY152" s="132">
        <f t="shared" si="126"/>
        <v>998.00927949371896</v>
      </c>
      <c r="BA152" s="211"/>
      <c r="BB152" s="149">
        <f t="shared" si="127"/>
        <v>1183.9426461936102</v>
      </c>
      <c r="BD152" s="220">
        <f t="shared" si="130"/>
        <v>11.294041924202352</v>
      </c>
      <c r="BE152" s="290">
        <f t="shared" si="130"/>
        <v>0.98810515522330289</v>
      </c>
      <c r="BF152" s="132">
        <f t="shared" si="130"/>
        <v>6.3238729934291387</v>
      </c>
      <c r="BH152" s="203">
        <f t="shared" si="131"/>
        <v>24.920012014731697</v>
      </c>
      <c r="BI152" s="286">
        <f t="shared" si="131"/>
        <v>0.98810515522330289</v>
      </c>
      <c r="BJ152" s="149">
        <f t="shared" si="131"/>
        <v>11.728808192500605</v>
      </c>
      <c r="BL152" s="253"/>
      <c r="BM152" s="253"/>
    </row>
    <row r="153" spans="2:65" x14ac:dyDescent="0.15">
      <c r="B153" s="366"/>
      <c r="C153" s="179">
        <v>43405</v>
      </c>
      <c r="D153" s="180">
        <v>588.11078373152156</v>
      </c>
      <c r="E153" s="181">
        <f t="shared" si="133"/>
        <v>559.48472752808937</v>
      </c>
      <c r="F153" s="182">
        <f t="shared" si="134"/>
        <v>4.5569735775806341E-3</v>
      </c>
      <c r="H153" s="144"/>
      <c r="I153" s="149">
        <f t="shared" si="117"/>
        <v>33.434405048837846</v>
      </c>
      <c r="L153" s="122"/>
      <c r="M153" s="132">
        <f t="shared" si="118"/>
        <v>47.802795846504878</v>
      </c>
      <c r="O153" s="144"/>
      <c r="P153" s="149">
        <f t="shared" si="119"/>
        <v>10171312.210354827</v>
      </c>
      <c r="S153" s="122"/>
      <c r="T153" s="132">
        <f t="shared" si="120"/>
        <v>12031221.186987143</v>
      </c>
      <c r="V153" s="253"/>
      <c r="W153" s="253"/>
      <c r="Y153" s="253"/>
      <c r="Z153" s="253"/>
      <c r="AB153" s="144"/>
      <c r="AC153" s="149">
        <f t="shared" si="121"/>
        <v>11.294041924202352</v>
      </c>
      <c r="AE153" s="225"/>
      <c r="AF153" s="226">
        <f t="shared" si="122"/>
        <v>4391717.2623986993</v>
      </c>
      <c r="AH153" s="239">
        <f t="shared" si="113"/>
        <v>65.649093008687203</v>
      </c>
      <c r="AI153" s="251">
        <f t="shared" si="114"/>
        <v>192.68335565997509</v>
      </c>
      <c r="AK153" s="122"/>
      <c r="AL153" s="258">
        <f t="shared" si="132"/>
        <v>0</v>
      </c>
      <c r="AM153" s="132">
        <f t="shared" si="129"/>
        <v>185.97629508006221</v>
      </c>
      <c r="AO153" s="363">
        <f>AC153+(AY153/66.17)+M153+((0.2006*AC153)*0.1)</f>
        <v>74.405900097765652</v>
      </c>
      <c r="AP153" s="364"/>
      <c r="AR153" s="225"/>
      <c r="AS153" s="226">
        <f t="shared" si="124"/>
        <v>0.98810515522330289</v>
      </c>
      <c r="AU153" s="211"/>
      <c r="AV153" s="208">
        <f t="shared" si="125"/>
        <v>1.9762103104466058</v>
      </c>
      <c r="AX153" s="225"/>
      <c r="AY153" s="132">
        <f t="shared" si="126"/>
        <v>998.00927949371896</v>
      </c>
      <c r="BA153" s="211"/>
      <c r="BB153" s="149">
        <f t="shared" si="127"/>
        <v>1183.9426461936102</v>
      </c>
      <c r="BD153" s="220">
        <f t="shared" si="130"/>
        <v>11.294041924202352</v>
      </c>
      <c r="BE153" s="290">
        <f t="shared" si="130"/>
        <v>0.98810515522330289</v>
      </c>
      <c r="BF153" s="132">
        <f t="shared" si="130"/>
        <v>6.3238729934291387</v>
      </c>
      <c r="BH153" s="203">
        <f t="shared" si="131"/>
        <v>24.920012014731697</v>
      </c>
      <c r="BI153" s="286">
        <f t="shared" si="131"/>
        <v>0.98810515522330289</v>
      </c>
      <c r="BJ153" s="149">
        <f t="shared" si="131"/>
        <v>11.728808192500605</v>
      </c>
      <c r="BL153" s="253"/>
      <c r="BM153" s="253"/>
    </row>
    <row r="154" spans="2:65" ht="11.25" thickBot="1" x14ac:dyDescent="0.2">
      <c r="B154" s="367"/>
      <c r="C154" s="183">
        <v>43435</v>
      </c>
      <c r="D154" s="190">
        <v>588.59859236811758</v>
      </c>
      <c r="E154" s="191">
        <f t="shared" si="133"/>
        <v>562.13815183522513</v>
      </c>
      <c r="F154" s="192">
        <f t="shared" si="134"/>
        <v>4.742621516871607E-3</v>
      </c>
      <c r="H154" s="154"/>
      <c r="I154" s="147">
        <f t="shared" ref="I154" si="135">+I153</f>
        <v>33.434405048837846</v>
      </c>
      <c r="L154" s="138"/>
      <c r="M154" s="136">
        <f t="shared" ref="M154" si="136">+M153</f>
        <v>47.802795846504878</v>
      </c>
      <c r="O154" s="154"/>
      <c r="P154" s="147">
        <f t="shared" ref="P154" si="137">+P153</f>
        <v>10171312.210354827</v>
      </c>
      <c r="S154" s="138"/>
      <c r="T154" s="136">
        <f t="shared" ref="T154" si="138">+T153</f>
        <v>12031221.186987143</v>
      </c>
      <c r="V154" s="253"/>
      <c r="W154" s="253"/>
      <c r="Y154" s="253"/>
      <c r="Z154" s="253"/>
      <c r="AB154" s="154"/>
      <c r="AC154" s="147">
        <f t="shared" ref="AC154" si="139">+AC153</f>
        <v>11.294041924202352</v>
      </c>
      <c r="AE154" s="228"/>
      <c r="AF154" s="229">
        <f t="shared" ref="AF154" si="140">+AF153</f>
        <v>4391717.2623986993</v>
      </c>
      <c r="AH154" s="252">
        <f t="shared" si="113"/>
        <v>65.948254190919926</v>
      </c>
      <c r="AI154" s="252">
        <f t="shared" si="114"/>
        <v>193.56140862055716</v>
      </c>
      <c r="AK154" s="138"/>
      <c r="AL154" s="275">
        <f>AL143</f>
        <v>0</v>
      </c>
      <c r="AM154" s="136">
        <f t="shared" si="129"/>
        <v>185.97629508006221</v>
      </c>
      <c r="AO154" s="363">
        <f>AC154+(AY154/66.17)+M154+((0.2006*AC154)*0.1)</f>
        <v>74.405900097765652</v>
      </c>
      <c r="AP154" s="364"/>
      <c r="AR154" s="282"/>
      <c r="AS154" s="229">
        <f t="shared" ref="AS154" si="141">+AS153</f>
        <v>0.98810515522330289</v>
      </c>
      <c r="AU154" s="284"/>
      <c r="AV154" s="214">
        <f t="shared" si="125"/>
        <v>1.9762103104466058</v>
      </c>
      <c r="AX154" s="282"/>
      <c r="AY154" s="136">
        <f t="shared" ref="AY154" si="142">+AY153</f>
        <v>998.00927949371896</v>
      </c>
      <c r="BA154" s="284"/>
      <c r="BB154" s="147">
        <f t="shared" ref="BB154" si="143">+BB153</f>
        <v>1183.9426461936102</v>
      </c>
      <c r="BD154" s="291">
        <f t="shared" si="130"/>
        <v>11.294041924202352</v>
      </c>
      <c r="BE154" s="292">
        <f t="shared" si="130"/>
        <v>0.98810515522330289</v>
      </c>
      <c r="BF154" s="136">
        <f t="shared" si="130"/>
        <v>6.3238729934291387</v>
      </c>
      <c r="BH154" s="246">
        <f t="shared" si="131"/>
        <v>24.920012014731697</v>
      </c>
      <c r="BI154" s="287">
        <f t="shared" si="131"/>
        <v>0.98810515522330289</v>
      </c>
      <c r="BJ154" s="147">
        <f t="shared" si="131"/>
        <v>11.728808192500605</v>
      </c>
      <c r="BL154" s="253"/>
      <c r="BM154" s="253"/>
    </row>
    <row r="155" spans="2:65" x14ac:dyDescent="0.15">
      <c r="B155" s="365">
        <v>2019</v>
      </c>
      <c r="C155" s="175">
        <v>43466</v>
      </c>
      <c r="D155" s="187">
        <v>592</v>
      </c>
      <c r="E155" s="188">
        <f>AVERAGE(D143:D154)</f>
        <v>564.94177275077277</v>
      </c>
      <c r="F155" s="189">
        <f t="shared" si="134"/>
        <v>4.9874232986937385E-3</v>
      </c>
      <c r="G155" s="321"/>
      <c r="H155" s="142"/>
      <c r="I155" s="153">
        <f>(1+(($E154-$E$14)/$E$14))*$H$20*0.98</f>
        <v>34.208224229384953</v>
      </c>
      <c r="L155" s="120"/>
      <c r="M155" s="137">
        <f>(1+((E154-$E$14)/$E$14))*L$20*0.98</f>
        <v>48.909162783669466</v>
      </c>
      <c r="O155" s="142"/>
      <c r="P155" s="153">
        <f>(1+((E154-$E$14)/$E$14))*O$20*0.98</f>
        <v>10406721.109308127</v>
      </c>
      <c r="S155" s="120"/>
      <c r="T155" s="137">
        <f>(1+((E154-$E$14)/$E$14))*S$20*0.98</f>
        <v>12309676.559717605</v>
      </c>
      <c r="V155" s="321"/>
      <c r="W155" s="321"/>
      <c r="Y155" s="253"/>
      <c r="Z155" s="253"/>
      <c r="AB155" s="210">
        <v>11.43</v>
      </c>
      <c r="AC155" s="153">
        <f>AB155*0.98*(1+((E154-$E$129)/$E$129))</f>
        <v>11.555435726606941</v>
      </c>
      <c r="AE155" s="223">
        <f>AE143</f>
        <v>4444584.91</v>
      </c>
      <c r="AF155" s="224">
        <f>AE155*0.98*(1+((E154-$E$129)/$E$129))</f>
        <v>4493360.9150439277</v>
      </c>
      <c r="AH155" s="249">
        <f>AH154*(1+F154)*0.98</f>
        <v>64.935801364240973</v>
      </c>
      <c r="AI155" s="250">
        <f>AI154*(1+F154)*0.98</f>
        <v>190.58980917947864</v>
      </c>
      <c r="AK155" s="120"/>
      <c r="AL155" s="277">
        <v>0</v>
      </c>
      <c r="AM155" s="280">
        <f>AL$20*0.98*(1+((E154-$E$14)/$E$14))</f>
        <v>190.28060448978036</v>
      </c>
      <c r="AO155" s="368">
        <f>AC155+(AY155/66.17)+M155+((0.2006*AC155)*0.1)</f>
        <v>76.127979870305936</v>
      </c>
      <c r="AP155" s="369"/>
      <c r="AR155" s="223">
        <v>1</v>
      </c>
      <c r="AS155" s="224">
        <f>AR155*0.98*(1+((E154-$E$129)/$E$129))</f>
        <v>1.0109742542963203</v>
      </c>
      <c r="AU155" s="210">
        <f>AU143</f>
        <v>2</v>
      </c>
      <c r="AV155" s="207">
        <f>AU155*0.98*(1+((E154-$E$129)/$E$129))</f>
        <v>2.0219485085926405</v>
      </c>
      <c r="AX155" s="223">
        <f>AX143</f>
        <v>1010.0233504683798</v>
      </c>
      <c r="AY155" s="281">
        <f>(AX155)*0.98*(1+((E154-$E$129)/$E$129))</f>
        <v>1021.1076035616413</v>
      </c>
      <c r="BA155" s="210">
        <f>BA143</f>
        <v>1198.194989607204</v>
      </c>
      <c r="BB155" s="283">
        <f>(BA155)*0.98*(1+((E154-$E$129)/$E$129))</f>
        <v>1211.3442861197304</v>
      </c>
      <c r="BD155" s="288">
        <f>11.43*0.98*(1+((E154-$E$129)/$E$129))</f>
        <v>11.555435726606941</v>
      </c>
      <c r="BE155" s="289">
        <f>1*0.98*(1+((E154-$E$129)/$E$129))</f>
        <v>1.0109742542963203</v>
      </c>
      <c r="BF155" s="281">
        <f>6.4*0.98*(1+((E154-$E$129)/$E$129))</f>
        <v>6.4702352274964507</v>
      </c>
      <c r="BH155" s="206">
        <f>21.77*0.98*(1+((E154-$E$129)/$E$129))</f>
        <v>22.00890951603089</v>
      </c>
      <c r="BI155" s="285">
        <f>1*0.98*(1+((E154-$E$129)/$E$129))</f>
        <v>1.0109742542963203</v>
      </c>
      <c r="BJ155" s="283">
        <f>11.87*0.98*(1+((E154-$E$129)/$E$129))</f>
        <v>12.00026439849732</v>
      </c>
      <c r="BL155" s="253"/>
      <c r="BM155" s="253"/>
    </row>
    <row r="156" spans="2:65" x14ac:dyDescent="0.15">
      <c r="B156" s="366"/>
      <c r="C156" s="179">
        <v>43497</v>
      </c>
      <c r="D156" s="180">
        <v>585.77</v>
      </c>
      <c r="E156" s="181">
        <f>AVERAGE(D144:D155)</f>
        <v>568.17843941743945</v>
      </c>
      <c r="F156" s="182">
        <f t="shared" si="134"/>
        <v>5.7292040043471033E-3</v>
      </c>
      <c r="H156" s="144"/>
      <c r="I156" s="149">
        <f>+I155</f>
        <v>34.208224229384953</v>
      </c>
      <c r="L156" s="122"/>
      <c r="M156" s="132">
        <f>+M155</f>
        <v>48.909162783669466</v>
      </c>
      <c r="O156" s="144"/>
      <c r="P156" s="149">
        <f>+P155</f>
        <v>10406721.109308127</v>
      </c>
      <c r="S156" s="122"/>
      <c r="T156" s="132">
        <f>+T155</f>
        <v>12309676.559717605</v>
      </c>
      <c r="V156" s="253"/>
      <c r="W156" s="253"/>
      <c r="Y156" s="253"/>
      <c r="Z156" s="253"/>
      <c r="AB156" s="144"/>
      <c r="AC156" s="149">
        <f>+AC155</f>
        <v>11.555435726606941</v>
      </c>
      <c r="AE156" s="225"/>
      <c r="AF156" s="226">
        <f>+AF155</f>
        <v>4493360.9150439277</v>
      </c>
      <c r="AH156" s="239">
        <f t="shared" ref="AH156:AH161" si="144">AH155*(1+F155)</f>
        <v>65.259663692884331</v>
      </c>
      <c r="AI156" s="251">
        <f t="shared" ref="AI156:AI161" si="145">AI155*(1+F155)</f>
        <v>191.54036123427395</v>
      </c>
      <c r="AK156" s="122"/>
      <c r="AL156" s="258">
        <f>AL155</f>
        <v>0</v>
      </c>
      <c r="AM156" s="132">
        <f>+AM155</f>
        <v>190.28060448978036</v>
      </c>
      <c r="AO156" s="359">
        <f>AC156+(AY156/66.17)+M156+((0.2006*AC156)*0.1)</f>
        <v>76.127979870305936</v>
      </c>
      <c r="AP156" s="360"/>
      <c r="AR156" s="225"/>
      <c r="AS156" s="226">
        <f>+AS155</f>
        <v>1.0109742542963203</v>
      </c>
      <c r="AU156" s="211"/>
      <c r="AV156" s="208">
        <f>+AV155</f>
        <v>2.0219485085926405</v>
      </c>
      <c r="AX156" s="225"/>
      <c r="AY156" s="132">
        <f>+AY155</f>
        <v>1021.1076035616413</v>
      </c>
      <c r="BA156" s="211"/>
      <c r="BB156" s="149">
        <f>+BB155</f>
        <v>1211.3442861197304</v>
      </c>
      <c r="BD156" s="220">
        <f>+BD155</f>
        <v>11.555435726606941</v>
      </c>
      <c r="BE156" s="290">
        <f t="shared" ref="BE156:BF156" si="146">+BE155</f>
        <v>1.0109742542963203</v>
      </c>
      <c r="BF156" s="132">
        <f t="shared" si="146"/>
        <v>6.4702352274964507</v>
      </c>
      <c r="BH156" s="203">
        <f>+BH155</f>
        <v>22.00890951603089</v>
      </c>
      <c r="BI156" s="286">
        <f t="shared" ref="BI156:BJ156" si="147">+BI155</f>
        <v>1.0109742542963203</v>
      </c>
      <c r="BJ156" s="149">
        <f t="shared" si="147"/>
        <v>12.00026439849732</v>
      </c>
      <c r="BL156" s="253"/>
      <c r="BM156" s="253"/>
    </row>
    <row r="157" spans="2:65" x14ac:dyDescent="0.15">
      <c r="B157" s="366"/>
      <c r="C157" s="179">
        <v>43525</v>
      </c>
      <c r="D157" s="180">
        <v>593.88</v>
      </c>
      <c r="E157" s="181">
        <f>AVERAGE(D145:D156)</f>
        <v>570.78843941743935</v>
      </c>
      <c r="F157" s="182">
        <f t="shared" si="134"/>
        <v>4.5936273165802736E-3</v>
      </c>
      <c r="H157" s="144"/>
      <c r="I157" s="149">
        <f t="shared" ref="I157:I161" si="148">+I156</f>
        <v>34.208224229384953</v>
      </c>
      <c r="L157" s="122"/>
      <c r="M157" s="132">
        <f t="shared" ref="M157:M161" si="149">+M156</f>
        <v>48.909162783669466</v>
      </c>
      <c r="O157" s="144"/>
      <c r="P157" s="149">
        <f t="shared" ref="P157:P161" si="150">+P156</f>
        <v>10406721.109308127</v>
      </c>
      <c r="S157" s="122"/>
      <c r="T157" s="132">
        <f t="shared" ref="T157:T161" si="151">+T156</f>
        <v>12309676.559717605</v>
      </c>
      <c r="V157" s="253"/>
      <c r="W157" s="253"/>
      <c r="Y157" s="253"/>
      <c r="Z157" s="253"/>
      <c r="AB157" s="144"/>
      <c r="AC157" s="149">
        <f t="shared" ref="AC157:AC166" si="152">+AC156</f>
        <v>11.555435726606941</v>
      </c>
      <c r="AE157" s="225"/>
      <c r="AF157" s="226">
        <f t="shared" ref="AF157:AF166" si="153">+AF156</f>
        <v>4493360.9150439277</v>
      </c>
      <c r="AH157" s="239">
        <f t="shared" si="144"/>
        <v>65.633549619435954</v>
      </c>
      <c r="AI157" s="251">
        <f t="shared" si="145"/>
        <v>192.63773503885142</v>
      </c>
      <c r="AK157" s="122"/>
      <c r="AL157" s="258">
        <f>AL155</f>
        <v>0</v>
      </c>
      <c r="AM157" s="132">
        <f>+AM156</f>
        <v>190.28060448978036</v>
      </c>
      <c r="AO157" s="359">
        <f>AC157+(AY157/66.17)+M157+((0.2006*AC157)*0.1)</f>
        <v>76.127979870305936</v>
      </c>
      <c r="AP157" s="360"/>
      <c r="AR157" s="225"/>
      <c r="AS157" s="226">
        <f t="shared" ref="AS157:AS166" si="154">+AS156</f>
        <v>1.0109742542963203</v>
      </c>
      <c r="AU157" s="211"/>
      <c r="AV157" s="208">
        <f t="shared" ref="AV157:AV166" si="155">+AV156</f>
        <v>2.0219485085926405</v>
      </c>
      <c r="AX157" s="225"/>
      <c r="AY157" s="132">
        <f t="shared" ref="AY157:AY166" si="156">+AY156</f>
        <v>1021.1076035616413</v>
      </c>
      <c r="BA157" s="211"/>
      <c r="BB157" s="149">
        <f t="shared" ref="BB157:BB166" si="157">+BB156</f>
        <v>1211.3442861197304</v>
      </c>
      <c r="BD157" s="220">
        <f>+BD156</f>
        <v>11.555435726606941</v>
      </c>
      <c r="BE157" s="290">
        <f>+BE156</f>
        <v>1.0109742542963203</v>
      </c>
      <c r="BF157" s="132">
        <f>+BF156</f>
        <v>6.4702352274964507</v>
      </c>
      <c r="BH157" s="203">
        <f>+BH156</f>
        <v>22.00890951603089</v>
      </c>
      <c r="BI157" s="286">
        <f>+BI156</f>
        <v>1.0109742542963203</v>
      </c>
      <c r="BJ157" s="149">
        <f>+BJ156</f>
        <v>12.00026439849732</v>
      </c>
      <c r="BL157" s="253"/>
      <c r="BM157" s="253"/>
    </row>
    <row r="158" spans="2:65" x14ac:dyDescent="0.15">
      <c r="B158" s="366"/>
      <c r="C158" s="179">
        <v>43556</v>
      </c>
      <c r="D158" s="180">
        <v>600.54532623189539</v>
      </c>
      <c r="E158" s="181">
        <f>AVERAGE(D146:D157)</f>
        <v>574.52760608410597</v>
      </c>
      <c r="F158" s="182">
        <f t="shared" si="134"/>
        <v>6.5508801658332545E-3</v>
      </c>
      <c r="H158" s="144"/>
      <c r="I158" s="149">
        <f t="shared" si="148"/>
        <v>34.208224229384953</v>
      </c>
      <c r="L158" s="122"/>
      <c r="M158" s="132">
        <f t="shared" si="149"/>
        <v>48.909162783669466</v>
      </c>
      <c r="O158" s="144"/>
      <c r="P158" s="149">
        <f t="shared" si="150"/>
        <v>10406721.109308127</v>
      </c>
      <c r="S158" s="122"/>
      <c r="T158" s="132">
        <f t="shared" si="151"/>
        <v>12309676.559717605</v>
      </c>
      <c r="V158" s="253"/>
      <c r="W158" s="253"/>
      <c r="Y158" s="253"/>
      <c r="Z158" s="253"/>
      <c r="AB158" s="144"/>
      <c r="AC158" s="149">
        <f t="shared" si="152"/>
        <v>11.555435726606941</v>
      </c>
      <c r="AE158" s="225"/>
      <c r="AF158" s="226">
        <f t="shared" si="153"/>
        <v>4493360.9150439277</v>
      </c>
      <c r="AH158" s="239">
        <f t="shared" si="144"/>
        <v>65.935045685851918</v>
      </c>
      <c r="AI158" s="251">
        <f t="shared" si="145"/>
        <v>193.52264100073003</v>
      </c>
      <c r="AK158" s="122"/>
      <c r="AL158" s="258">
        <f>AL155</f>
        <v>0</v>
      </c>
      <c r="AM158" s="132">
        <f t="shared" ref="AM158:AM161" si="158">+AM157</f>
        <v>190.28060448978036</v>
      </c>
      <c r="AO158" s="359">
        <f>AC158+(AY158/66.17)+M158+((0.2006*AC158)*0.1)</f>
        <v>76.127979870305936</v>
      </c>
      <c r="AP158" s="360"/>
      <c r="AR158" s="225"/>
      <c r="AS158" s="226">
        <f t="shared" si="154"/>
        <v>1.0109742542963203</v>
      </c>
      <c r="AU158" s="211"/>
      <c r="AV158" s="208">
        <f t="shared" si="155"/>
        <v>2.0219485085926405</v>
      </c>
      <c r="AX158" s="225"/>
      <c r="AY158" s="132">
        <f t="shared" si="156"/>
        <v>1021.1076035616413</v>
      </c>
      <c r="BA158" s="211"/>
      <c r="BB158" s="149">
        <f t="shared" si="157"/>
        <v>1211.3442861197304</v>
      </c>
      <c r="BD158" s="220">
        <f t="shared" ref="BD158:BF158" si="159">+BD157</f>
        <v>11.555435726606941</v>
      </c>
      <c r="BE158" s="290">
        <f t="shared" si="159"/>
        <v>1.0109742542963203</v>
      </c>
      <c r="BF158" s="132">
        <f t="shared" si="159"/>
        <v>6.4702352274964507</v>
      </c>
      <c r="BH158" s="203">
        <f t="shared" ref="BH158:BJ158" si="160">+BH157</f>
        <v>22.00890951603089</v>
      </c>
      <c r="BI158" s="286">
        <f t="shared" si="160"/>
        <v>1.0109742542963203</v>
      </c>
      <c r="BJ158" s="149">
        <f t="shared" si="160"/>
        <v>12.00026439849732</v>
      </c>
      <c r="BL158" s="253"/>
      <c r="BM158" s="253"/>
    </row>
    <row r="159" spans="2:65" x14ac:dyDescent="0.15">
      <c r="B159" s="366"/>
      <c r="C159" s="179">
        <v>43586</v>
      </c>
      <c r="D159" s="180">
        <v>610.43933213705111</v>
      </c>
      <c r="E159" s="181">
        <f t="shared" ref="E159:E160" si="161">AVERAGE(D147:D158)</f>
        <v>578.78638327009742</v>
      </c>
      <c r="F159" s="182">
        <f t="shared" si="134"/>
        <v>7.4126589234216871E-3</v>
      </c>
      <c r="H159" s="144"/>
      <c r="I159" s="149">
        <f t="shared" si="148"/>
        <v>34.208224229384953</v>
      </c>
      <c r="L159" s="122"/>
      <c r="M159" s="132">
        <f t="shared" si="149"/>
        <v>48.909162783669466</v>
      </c>
      <c r="O159" s="144"/>
      <c r="P159" s="149">
        <f t="shared" si="150"/>
        <v>10406721.109308127</v>
      </c>
      <c r="S159" s="122"/>
      <c r="T159" s="132">
        <f t="shared" si="151"/>
        <v>12309676.559717605</v>
      </c>
      <c r="V159" s="253"/>
      <c r="W159" s="253"/>
      <c r="Y159" s="253"/>
      <c r="Z159" s="253"/>
      <c r="AB159" s="144"/>
      <c r="AC159" s="149">
        <f t="shared" si="152"/>
        <v>11.555435726606941</v>
      </c>
      <c r="AE159" s="225"/>
      <c r="AF159" s="226">
        <f t="shared" si="153"/>
        <v>4493360.9150439277</v>
      </c>
      <c r="AH159" s="239">
        <f t="shared" si="144"/>
        <v>66.366978268868664</v>
      </c>
      <c r="AI159" s="251">
        <f t="shared" si="145"/>
        <v>194.79038463130138</v>
      </c>
      <c r="AK159" s="122"/>
      <c r="AL159" s="258">
        <f>AL155</f>
        <v>0</v>
      </c>
      <c r="AM159" s="132">
        <f t="shared" si="158"/>
        <v>190.28060448978036</v>
      </c>
      <c r="AO159" s="359">
        <f>AC159+(AY159/66.17)+M159+((0.2006*AC159)*0.1)</f>
        <v>76.127979870305936</v>
      </c>
      <c r="AP159" s="360"/>
      <c r="AR159" s="225"/>
      <c r="AS159" s="226">
        <f t="shared" si="154"/>
        <v>1.0109742542963203</v>
      </c>
      <c r="AU159" s="211"/>
      <c r="AV159" s="208">
        <f t="shared" si="155"/>
        <v>2.0219485085926405</v>
      </c>
      <c r="AX159" s="225"/>
      <c r="AY159" s="132">
        <f t="shared" si="156"/>
        <v>1021.1076035616413</v>
      </c>
      <c r="BA159" s="211"/>
      <c r="BB159" s="149">
        <f t="shared" si="157"/>
        <v>1211.3442861197304</v>
      </c>
      <c r="BD159" s="220">
        <f t="shared" ref="BD159:BF159" si="162">+BD158</f>
        <v>11.555435726606941</v>
      </c>
      <c r="BE159" s="290">
        <f t="shared" si="162"/>
        <v>1.0109742542963203</v>
      </c>
      <c r="BF159" s="132">
        <f t="shared" si="162"/>
        <v>6.4702352274964507</v>
      </c>
      <c r="BH159" s="203">
        <f t="shared" ref="BH159:BJ159" si="163">+BH158</f>
        <v>22.00890951603089</v>
      </c>
      <c r="BI159" s="286">
        <f t="shared" si="163"/>
        <v>1.0109742542963203</v>
      </c>
      <c r="BJ159" s="149">
        <f t="shared" si="163"/>
        <v>12.00026439849732</v>
      </c>
      <c r="BL159" s="253"/>
      <c r="BM159" s="253"/>
    </row>
    <row r="160" spans="2:65" x14ac:dyDescent="0.15">
      <c r="B160" s="366"/>
      <c r="C160" s="179">
        <v>43617</v>
      </c>
      <c r="D160" s="180">
        <v>599.06808064290465</v>
      </c>
      <c r="E160" s="181">
        <f t="shared" si="161"/>
        <v>583.28216094818492</v>
      </c>
      <c r="F160" s="182">
        <f t="shared" si="134"/>
        <v>7.7675940693122687E-3</v>
      </c>
      <c r="H160" s="144"/>
      <c r="I160" s="149">
        <f t="shared" si="148"/>
        <v>34.208224229384953</v>
      </c>
      <c r="L160" s="122"/>
      <c r="M160" s="132">
        <f t="shared" si="149"/>
        <v>48.909162783669466</v>
      </c>
      <c r="O160" s="144"/>
      <c r="P160" s="149">
        <f t="shared" si="150"/>
        <v>10406721.109308127</v>
      </c>
      <c r="S160" s="122"/>
      <c r="T160" s="132">
        <f t="shared" si="151"/>
        <v>12309676.559717605</v>
      </c>
      <c r="V160" s="253"/>
      <c r="W160" s="253"/>
      <c r="Y160" s="253"/>
      <c r="Z160" s="253"/>
      <c r="AB160" s="144"/>
      <c r="AC160" s="149">
        <f t="shared" si="152"/>
        <v>11.555435726606941</v>
      </c>
      <c r="AE160" s="225"/>
      <c r="AF160" s="226">
        <f t="shared" si="153"/>
        <v>4493360.9150439277</v>
      </c>
      <c r="AH160" s="239">
        <f t="shared" si="144"/>
        <v>66.858934042553912</v>
      </c>
      <c r="AI160" s="251">
        <f t="shared" si="145"/>
        <v>196.23429931413531</v>
      </c>
      <c r="AK160" s="122"/>
      <c r="AL160" s="258">
        <f t="shared" ref="AL160:AL161" si="164">AL156</f>
        <v>0</v>
      </c>
      <c r="AM160" s="132">
        <f t="shared" si="158"/>
        <v>190.28060448978036</v>
      </c>
      <c r="AO160" s="359">
        <f>AC160+(AY160/66.17)+M160+((0.2006*AC160)*0.1)</f>
        <v>76.127979870305936</v>
      </c>
      <c r="AP160" s="360"/>
      <c r="AR160" s="225"/>
      <c r="AS160" s="226">
        <f t="shared" si="154"/>
        <v>1.0109742542963203</v>
      </c>
      <c r="AU160" s="211"/>
      <c r="AV160" s="208">
        <f t="shared" si="155"/>
        <v>2.0219485085926405</v>
      </c>
      <c r="AX160" s="225"/>
      <c r="AY160" s="132">
        <f t="shared" si="156"/>
        <v>1021.1076035616413</v>
      </c>
      <c r="BA160" s="211"/>
      <c r="BB160" s="149">
        <f t="shared" si="157"/>
        <v>1211.3442861197304</v>
      </c>
      <c r="BD160" s="220">
        <f t="shared" ref="BD160:BF160" si="165">+BD159</f>
        <v>11.555435726606941</v>
      </c>
      <c r="BE160" s="290">
        <f t="shared" si="165"/>
        <v>1.0109742542963203</v>
      </c>
      <c r="BF160" s="132">
        <f t="shared" si="165"/>
        <v>6.4702352274964507</v>
      </c>
      <c r="BH160" s="203">
        <f t="shared" ref="BH160:BJ160" si="166">+BH159</f>
        <v>22.00890951603089</v>
      </c>
      <c r="BI160" s="286">
        <f t="shared" si="166"/>
        <v>1.0109742542963203</v>
      </c>
      <c r="BJ160" s="149">
        <f t="shared" si="166"/>
        <v>12.00026439849732</v>
      </c>
      <c r="BL160" s="253"/>
      <c r="BM160" s="253"/>
    </row>
    <row r="161" spans="2:65" x14ac:dyDescent="0.15">
      <c r="B161" s="366"/>
      <c r="C161" s="179">
        <v>43647</v>
      </c>
      <c r="D161" s="180">
        <v>608.3756860463385</v>
      </c>
      <c r="E161" s="181">
        <f>AVERAGE(D149:D160)</f>
        <v>586.48866766842696</v>
      </c>
      <c r="F161" s="182">
        <f t="shared" si="134"/>
        <v>5.4973509133718866E-3</v>
      </c>
      <c r="H161" s="144"/>
      <c r="I161" s="149">
        <f t="shared" si="148"/>
        <v>34.208224229384953</v>
      </c>
      <c r="L161" s="122"/>
      <c r="M161" s="132">
        <f t="shared" si="149"/>
        <v>48.909162783669466</v>
      </c>
      <c r="O161" s="144"/>
      <c r="P161" s="149">
        <f t="shared" si="150"/>
        <v>10406721.109308127</v>
      </c>
      <c r="S161" s="122"/>
      <c r="T161" s="132">
        <f t="shared" si="151"/>
        <v>12309676.559717605</v>
      </c>
      <c r="V161" s="253"/>
      <c r="W161" s="253"/>
      <c r="Y161" s="253"/>
      <c r="Z161" s="253"/>
      <c r="AB161" s="144"/>
      <c r="AC161" s="149">
        <f t="shared" si="152"/>
        <v>11.555435726606941</v>
      </c>
      <c r="AE161" s="225"/>
      <c r="AF161" s="226">
        <f t="shared" si="153"/>
        <v>4493360.9150439277</v>
      </c>
      <c r="AH161" s="239">
        <f t="shared" si="144"/>
        <v>67.378267102103393</v>
      </c>
      <c r="AI161" s="251">
        <f t="shared" si="145"/>
        <v>197.75856769368343</v>
      </c>
      <c r="AK161" s="122"/>
      <c r="AL161" s="258">
        <f t="shared" si="164"/>
        <v>0</v>
      </c>
      <c r="AM161" s="132">
        <f t="shared" si="158"/>
        <v>190.28060448978036</v>
      </c>
      <c r="AO161" s="359">
        <f>AC161+(AY161/66.17)+M161+((0.2006*AC161)*0.1)</f>
        <v>76.127979870305936</v>
      </c>
      <c r="AP161" s="360"/>
      <c r="AR161" s="225"/>
      <c r="AS161" s="226">
        <f t="shared" si="154"/>
        <v>1.0109742542963203</v>
      </c>
      <c r="AU161" s="211"/>
      <c r="AV161" s="208">
        <f t="shared" si="155"/>
        <v>2.0219485085926405</v>
      </c>
      <c r="AX161" s="225"/>
      <c r="AY161" s="132">
        <f t="shared" si="156"/>
        <v>1021.1076035616413</v>
      </c>
      <c r="BA161" s="211"/>
      <c r="BB161" s="149">
        <f t="shared" si="157"/>
        <v>1211.3442861197304</v>
      </c>
      <c r="BD161" s="220">
        <f t="shared" ref="BD161:BF161" si="167">+BD160</f>
        <v>11.555435726606941</v>
      </c>
      <c r="BE161" s="290">
        <f t="shared" si="167"/>
        <v>1.0109742542963203</v>
      </c>
      <c r="BF161" s="132">
        <f t="shared" si="167"/>
        <v>6.4702352274964507</v>
      </c>
      <c r="BH161" s="203">
        <f t="shared" ref="BH161:BJ161" si="168">+BH160</f>
        <v>22.00890951603089</v>
      </c>
      <c r="BI161" s="286">
        <f t="shared" si="168"/>
        <v>1.0109742542963203</v>
      </c>
      <c r="BJ161" s="149">
        <f t="shared" si="168"/>
        <v>12.00026439849732</v>
      </c>
      <c r="BL161" s="253"/>
      <c r="BM161" s="253"/>
    </row>
    <row r="162" spans="2:65" x14ac:dyDescent="0.15">
      <c r="B162" s="366"/>
      <c r="C162" s="179">
        <v>43678</v>
      </c>
      <c r="D162" s="180">
        <v>618.87728878374946</v>
      </c>
      <c r="E162" s="181">
        <f t="shared" ref="E162:E166" si="169">AVERAGE(D150:D161)</f>
        <v>590.70796088342161</v>
      </c>
      <c r="F162" s="182">
        <f t="shared" si="134"/>
        <v>7.1941598322237989E-3</v>
      </c>
      <c r="H162" s="298"/>
      <c r="I162" s="299"/>
      <c r="L162" s="298"/>
      <c r="M162" s="299"/>
      <c r="O162" s="298"/>
      <c r="P162" s="299"/>
      <c r="S162" s="298"/>
      <c r="T162" s="299"/>
      <c r="V162" s="144"/>
      <c r="W162" s="429">
        <v>34.208224229384953</v>
      </c>
      <c r="Y162" s="122"/>
      <c r="Z162" s="132">
        <v>10406721.109308127</v>
      </c>
      <c r="AB162" s="144"/>
      <c r="AC162" s="149">
        <f t="shared" si="152"/>
        <v>11.555435726606941</v>
      </c>
      <c r="AE162" s="225"/>
      <c r="AF162" s="226">
        <f t="shared" si="153"/>
        <v>4493360.9150439277</v>
      </c>
      <c r="AH162" s="298"/>
      <c r="AI162" s="299"/>
      <c r="AK162" s="298"/>
      <c r="AL162" s="299"/>
      <c r="AM162" s="299"/>
      <c r="AO162" s="359">
        <f>AC162+(AY162/66.17)+W162+((0.2006*AC162)*0.1)</f>
        <v>61.427041316021437</v>
      </c>
      <c r="AP162" s="360"/>
      <c r="AR162" s="225"/>
      <c r="AS162" s="226">
        <f t="shared" si="154"/>
        <v>1.0109742542963203</v>
      </c>
      <c r="AU162" s="211"/>
      <c r="AV162" s="208">
        <f t="shared" si="155"/>
        <v>2.0219485085926405</v>
      </c>
      <c r="AX162" s="225"/>
      <c r="AY162" s="132">
        <f t="shared" si="156"/>
        <v>1021.1076035616413</v>
      </c>
      <c r="BA162" s="211"/>
      <c r="BB162" s="149">
        <f t="shared" si="157"/>
        <v>1211.3442861197304</v>
      </c>
      <c r="BD162" s="220">
        <f t="shared" ref="BD162:BF162" si="170">+BD161</f>
        <v>11.555435726606941</v>
      </c>
      <c r="BE162" s="290">
        <f t="shared" si="170"/>
        <v>1.0109742542963203</v>
      </c>
      <c r="BF162" s="132">
        <f t="shared" si="170"/>
        <v>6.4702352274964507</v>
      </c>
      <c r="BH162" s="203">
        <f t="shared" ref="BH162:BJ162" si="171">+BH161</f>
        <v>22.00890951603089</v>
      </c>
      <c r="BI162" s="286">
        <f t="shared" si="171"/>
        <v>1.0109742542963203</v>
      </c>
      <c r="BJ162" s="149">
        <f t="shared" si="171"/>
        <v>12.00026439849732</v>
      </c>
      <c r="BL162" s="220">
        <f>AC162</f>
        <v>11.555435726606941</v>
      </c>
      <c r="BM162" s="132">
        <f>AS162</f>
        <v>1.0109742542963203</v>
      </c>
    </row>
    <row r="163" spans="2:65" x14ac:dyDescent="0.15">
      <c r="B163" s="366"/>
      <c r="C163" s="179">
        <v>43709</v>
      </c>
      <c r="D163" s="180">
        <v>622.31257961948018</v>
      </c>
      <c r="E163" s="181">
        <f t="shared" si="169"/>
        <v>594.85975428040877</v>
      </c>
      <c r="F163" s="182">
        <f t="shared" si="134"/>
        <v>7.0285042219136963E-3</v>
      </c>
      <c r="H163" s="298"/>
      <c r="I163" s="299"/>
      <c r="L163" s="298"/>
      <c r="M163" s="323"/>
      <c r="O163" s="298"/>
      <c r="P163" s="299"/>
      <c r="S163" s="298"/>
      <c r="T163" s="299"/>
      <c r="V163" s="144"/>
      <c r="W163" s="429">
        <v>34.208224229384953</v>
      </c>
      <c r="Y163" s="122"/>
      <c r="Z163" s="132">
        <v>10406721.109308127</v>
      </c>
      <c r="AB163" s="144"/>
      <c r="AC163" s="149">
        <f t="shared" si="152"/>
        <v>11.555435726606941</v>
      </c>
      <c r="AE163" s="225"/>
      <c r="AF163" s="226">
        <f t="shared" si="153"/>
        <v>4493360.9150439277</v>
      </c>
      <c r="AH163" s="302"/>
      <c r="AI163" s="303"/>
      <c r="AK163" s="298"/>
      <c r="AL163" s="304"/>
      <c r="AM163" s="299"/>
      <c r="AO163" s="359">
        <f>AC163+(AY163/66.17)+W163+((0.2006*AC163)*0.1)</f>
        <v>61.427041316021437</v>
      </c>
      <c r="AP163" s="360"/>
      <c r="AR163" s="225"/>
      <c r="AS163" s="226">
        <f t="shared" si="154"/>
        <v>1.0109742542963203</v>
      </c>
      <c r="AU163" s="211"/>
      <c r="AV163" s="208">
        <f t="shared" si="155"/>
        <v>2.0219485085926405</v>
      </c>
      <c r="AX163" s="225"/>
      <c r="AY163" s="132">
        <f t="shared" si="156"/>
        <v>1021.1076035616413</v>
      </c>
      <c r="BA163" s="211"/>
      <c r="BB163" s="149">
        <f t="shared" si="157"/>
        <v>1211.3442861197304</v>
      </c>
      <c r="BD163" s="220">
        <f>+BD162</f>
        <v>11.555435726606941</v>
      </c>
      <c r="BE163" s="290">
        <f>+BE162</f>
        <v>1.0109742542963203</v>
      </c>
      <c r="BF163" s="132">
        <f>+BF162</f>
        <v>6.4702352274964507</v>
      </c>
      <c r="BH163" s="203">
        <f>+BH162</f>
        <v>22.00890951603089</v>
      </c>
      <c r="BI163" s="286">
        <f>+BI162</f>
        <v>1.0109742542963203</v>
      </c>
      <c r="BJ163" s="149">
        <f>+BJ162</f>
        <v>12.00026439849732</v>
      </c>
      <c r="BL163" s="220">
        <f>AC163</f>
        <v>11.555435726606941</v>
      </c>
      <c r="BM163" s="132">
        <f t="shared" ref="BM163:BM178" si="172">AS163</f>
        <v>1.0109742542963203</v>
      </c>
    </row>
    <row r="164" spans="2:65" x14ac:dyDescent="0.15">
      <c r="B164" s="366"/>
      <c r="C164" s="179">
        <v>43739</v>
      </c>
      <c r="D164" s="180">
        <v>618.06308155652584</v>
      </c>
      <c r="E164" s="181">
        <f t="shared" si="169"/>
        <v>599.44486097585047</v>
      </c>
      <c r="F164" s="182">
        <f t="shared" si="134"/>
        <v>7.7078784746300935E-3</v>
      </c>
      <c r="H164" s="298"/>
      <c r="I164" s="299"/>
      <c r="L164" s="298"/>
      <c r="M164" s="323"/>
      <c r="O164" s="298"/>
      <c r="P164" s="299"/>
      <c r="S164" s="298"/>
      <c r="T164" s="299"/>
      <c r="V164" s="144"/>
      <c r="W164" s="429">
        <v>34.208224229384953</v>
      </c>
      <c r="Y164" s="122"/>
      <c r="Z164" s="132">
        <v>10406721.109308127</v>
      </c>
      <c r="AB164" s="144"/>
      <c r="AC164" s="149">
        <f t="shared" si="152"/>
        <v>11.555435726606941</v>
      </c>
      <c r="AE164" s="225"/>
      <c r="AF164" s="226">
        <f t="shared" si="153"/>
        <v>4493360.9150439277</v>
      </c>
      <c r="AH164" s="302"/>
      <c r="AI164" s="303"/>
      <c r="AK164" s="298"/>
      <c r="AL164" s="304"/>
      <c r="AM164" s="299"/>
      <c r="AO164" s="359">
        <f>AC164+(AY164/66.17)+W164+((0.2006*AC164)*0.1)</f>
        <v>61.427041316021437</v>
      </c>
      <c r="AP164" s="360"/>
      <c r="AR164" s="225"/>
      <c r="AS164" s="226">
        <f>+AS163</f>
        <v>1.0109742542963203</v>
      </c>
      <c r="AU164" s="211"/>
      <c r="AV164" s="208">
        <f>+AV163</f>
        <v>2.0219485085926405</v>
      </c>
      <c r="AX164" s="225"/>
      <c r="AY164" s="132">
        <f t="shared" si="156"/>
        <v>1021.1076035616413</v>
      </c>
      <c r="BA164" s="211"/>
      <c r="BB164" s="149">
        <f t="shared" si="157"/>
        <v>1211.3442861197304</v>
      </c>
      <c r="BD164" s="220">
        <f t="shared" ref="BD164:BF164" si="173">+BD163</f>
        <v>11.555435726606941</v>
      </c>
      <c r="BE164" s="290">
        <f t="shared" si="173"/>
        <v>1.0109742542963203</v>
      </c>
      <c r="BF164" s="132">
        <f t="shared" si="173"/>
        <v>6.4702352274964507</v>
      </c>
      <c r="BH164" s="203">
        <f t="shared" ref="BH164:BJ164" si="174">+BH163</f>
        <v>22.00890951603089</v>
      </c>
      <c r="BI164" s="286">
        <f t="shared" si="174"/>
        <v>1.0109742542963203</v>
      </c>
      <c r="BJ164" s="149">
        <f t="shared" si="174"/>
        <v>12.00026439849732</v>
      </c>
      <c r="BL164" s="220">
        <f>AC164</f>
        <v>11.555435726606941</v>
      </c>
      <c r="BM164" s="132">
        <f t="shared" si="172"/>
        <v>1.0109742542963203</v>
      </c>
    </row>
    <row r="165" spans="2:65" x14ac:dyDescent="0.15">
      <c r="B165" s="366"/>
      <c r="C165" s="179">
        <v>43770</v>
      </c>
      <c r="D165" s="180">
        <v>626.71435549323439</v>
      </c>
      <c r="E165" s="181">
        <f t="shared" si="169"/>
        <v>602.17006259313189</v>
      </c>
      <c r="F165" s="182">
        <f t="shared" si="134"/>
        <v>4.5462089921748487E-3</v>
      </c>
      <c r="H165" s="298"/>
      <c r="I165" s="299"/>
      <c r="L165" s="298"/>
      <c r="M165" s="323"/>
      <c r="O165" s="298"/>
      <c r="P165" s="299"/>
      <c r="S165" s="298"/>
      <c r="T165" s="299"/>
      <c r="V165" s="144"/>
      <c r="W165" s="429">
        <v>34.208224229384953</v>
      </c>
      <c r="Y165" s="122"/>
      <c r="Z165" s="132">
        <v>10406721.109308127</v>
      </c>
      <c r="AB165" s="144"/>
      <c r="AC165" s="149">
        <f t="shared" si="152"/>
        <v>11.555435726606941</v>
      </c>
      <c r="AE165" s="225"/>
      <c r="AF165" s="226">
        <f t="shared" si="153"/>
        <v>4493360.9150439277</v>
      </c>
      <c r="AH165" s="302"/>
      <c r="AI165" s="303"/>
      <c r="AK165" s="298"/>
      <c r="AL165" s="304"/>
      <c r="AM165" s="299"/>
      <c r="AO165" s="359">
        <f>AC165+(AY165/66.17)+W165+((0.2006*AC165)*0.1)</f>
        <v>61.427041316021437</v>
      </c>
      <c r="AP165" s="360"/>
      <c r="AR165" s="225"/>
      <c r="AS165" s="226">
        <f t="shared" si="154"/>
        <v>1.0109742542963203</v>
      </c>
      <c r="AU165" s="211"/>
      <c r="AV165" s="208">
        <f t="shared" si="155"/>
        <v>2.0219485085926405</v>
      </c>
      <c r="AX165" s="225"/>
      <c r="AY165" s="132">
        <f t="shared" si="156"/>
        <v>1021.1076035616413</v>
      </c>
      <c r="BA165" s="211"/>
      <c r="BB165" s="149">
        <f t="shared" si="157"/>
        <v>1211.3442861197304</v>
      </c>
      <c r="BD165" s="220">
        <f t="shared" ref="BD165:BF165" si="175">+BD164</f>
        <v>11.555435726606941</v>
      </c>
      <c r="BE165" s="290">
        <f t="shared" si="175"/>
        <v>1.0109742542963203</v>
      </c>
      <c r="BF165" s="132">
        <f t="shared" si="175"/>
        <v>6.4702352274964507</v>
      </c>
      <c r="BH165" s="203">
        <f t="shared" ref="BH165:BJ165" si="176">+BH164</f>
        <v>22.00890951603089</v>
      </c>
      <c r="BI165" s="286">
        <f t="shared" si="176"/>
        <v>1.0109742542963203</v>
      </c>
      <c r="BJ165" s="149">
        <f t="shared" si="176"/>
        <v>12.00026439849732</v>
      </c>
      <c r="BL165" s="220">
        <f>AC165</f>
        <v>11.555435726606941</v>
      </c>
      <c r="BM165" s="132">
        <f t="shared" si="172"/>
        <v>1.0109742542963203</v>
      </c>
    </row>
    <row r="166" spans="2:65" ht="11.25" thickBot="1" x14ac:dyDescent="0.2">
      <c r="B166" s="367"/>
      <c r="C166" s="183">
        <v>43800</v>
      </c>
      <c r="D166" s="190">
        <v>609.83714398619645</v>
      </c>
      <c r="E166" s="191">
        <f t="shared" si="169"/>
        <v>605.38702690660807</v>
      </c>
      <c r="F166" s="192">
        <f t="shared" si="134"/>
        <v>5.3422853664011997E-3</v>
      </c>
      <c r="H166" s="330"/>
      <c r="I166" s="325"/>
      <c r="L166" s="330"/>
      <c r="M166" s="324"/>
      <c r="O166" s="330"/>
      <c r="P166" s="325"/>
      <c r="S166" s="330"/>
      <c r="T166" s="325"/>
      <c r="V166" s="151"/>
      <c r="W166" s="430">
        <v>34.208224229384953</v>
      </c>
      <c r="Y166" s="138"/>
      <c r="Z166" s="136">
        <v>10406721.109308127</v>
      </c>
      <c r="AB166" s="154"/>
      <c r="AC166" s="147">
        <f t="shared" si="152"/>
        <v>11.555435726606941</v>
      </c>
      <c r="AE166" s="228"/>
      <c r="AF166" s="229">
        <f t="shared" si="153"/>
        <v>4493360.9150439277</v>
      </c>
      <c r="AH166" s="332"/>
      <c r="AI166" s="332"/>
      <c r="AK166" s="330"/>
      <c r="AL166" s="331"/>
      <c r="AM166" s="325"/>
      <c r="AO166" s="370">
        <f>AC166+(AY166/66.17)+W166+((0.2006*AC166)*0.1)</f>
        <v>61.427041316021437</v>
      </c>
      <c r="AP166" s="371"/>
      <c r="AR166" s="282"/>
      <c r="AS166" s="229">
        <f t="shared" si="154"/>
        <v>1.0109742542963203</v>
      </c>
      <c r="AU166" s="284"/>
      <c r="AV166" s="214">
        <f t="shared" si="155"/>
        <v>2.0219485085926405</v>
      </c>
      <c r="AX166" s="282"/>
      <c r="AY166" s="136">
        <f t="shared" si="156"/>
        <v>1021.1076035616413</v>
      </c>
      <c r="BA166" s="284"/>
      <c r="BB166" s="147">
        <f t="shared" si="157"/>
        <v>1211.3442861197304</v>
      </c>
      <c r="BD166" s="291">
        <f t="shared" ref="BD166:BF166" si="177">+BD165</f>
        <v>11.555435726606941</v>
      </c>
      <c r="BE166" s="292">
        <f t="shared" si="177"/>
        <v>1.0109742542963203</v>
      </c>
      <c r="BF166" s="136">
        <f t="shared" si="177"/>
        <v>6.4702352274964507</v>
      </c>
      <c r="BH166" s="246">
        <f t="shared" ref="BH166:BJ166" si="178">+BH165</f>
        <v>22.00890951603089</v>
      </c>
      <c r="BI166" s="287">
        <f t="shared" si="178"/>
        <v>1.0109742542963203</v>
      </c>
      <c r="BJ166" s="147">
        <f t="shared" si="178"/>
        <v>12.00026439849732</v>
      </c>
      <c r="BL166" s="291">
        <f>AC166</f>
        <v>11.555435726606941</v>
      </c>
      <c r="BM166" s="136">
        <f t="shared" si="172"/>
        <v>1.0109742542963203</v>
      </c>
    </row>
    <row r="167" spans="2:65" x14ac:dyDescent="0.15">
      <c r="B167" s="365">
        <v>2020</v>
      </c>
      <c r="C167" s="333">
        <v>43831</v>
      </c>
      <c r="D167" s="187"/>
      <c r="E167" s="188"/>
      <c r="F167" s="189"/>
      <c r="I167" s="336"/>
      <c r="J167" s="315"/>
      <c r="K167" s="315"/>
      <c r="L167" s="315"/>
      <c r="V167" s="433">
        <v>25.79</v>
      </c>
      <c r="W167" s="153">
        <f>ROUND(V167*(1-0.02)*(1+((E166-E155)/E155)),2)</f>
        <v>27.08</v>
      </c>
      <c r="Y167" s="334">
        <v>7760489.9100000001</v>
      </c>
      <c r="Z167" s="137">
        <f>ROUND(Y167*(1-0.02)*(1+((E166-E155)/E155)),2)</f>
        <v>8149756.5599999996</v>
      </c>
      <c r="AB167" s="210">
        <v>11.43</v>
      </c>
      <c r="AC167" s="153">
        <f>ROUND(AB167*(1-0.02)*(1+((E166-$E$129)/$E$129)),2)</f>
        <v>12.44</v>
      </c>
      <c r="AE167" s="223">
        <f>AE155</f>
        <v>4444584.91</v>
      </c>
      <c r="AF167" s="224">
        <f>ROUND(AE167*0.98*(1+((E166-$E$129)/$E$129)),2)</f>
        <v>4839063.84</v>
      </c>
      <c r="AO167" s="412">
        <f>ROUND(AC167+(AY167/66.17)+W167+((AC167*0.2006)*0.1),2)</f>
        <v>56.39</v>
      </c>
      <c r="AP167" s="413"/>
      <c r="AR167" s="223">
        <v>1</v>
      </c>
      <c r="AS167" s="224">
        <f>ROUND(AR167*(1-0.02)*(1+((E166-$E$129)/$E$129)),2)</f>
        <v>1.0900000000000001</v>
      </c>
      <c r="AU167" s="210">
        <f>AU155</f>
        <v>2</v>
      </c>
      <c r="AV167" s="207">
        <f>ROUND(AU167*(1-0.02)*(1+((E166-$E$129)/$E$129)),2)</f>
        <v>2.1800000000000002</v>
      </c>
      <c r="AX167" s="223">
        <f>AX155</f>
        <v>1010.0233504683798</v>
      </c>
      <c r="AY167" s="281">
        <f>ROUND(AX167*(1-0.02)*(1+((E166-$E$129)/$E$129)),2)</f>
        <v>1099.67</v>
      </c>
      <c r="BA167" s="210">
        <f>BA155</f>
        <v>1198.194989607204</v>
      </c>
      <c r="BB167" s="283">
        <f>ROUND(BA167*(1-0.02)*(1+((E166-$E$129)/$E$129)),2)</f>
        <v>1304.54</v>
      </c>
      <c r="BD167" s="288">
        <f>ROUND(11.43*(1-0.02)*(1+((E166-$E$129)/$E$129)),2)</f>
        <v>12.44</v>
      </c>
      <c r="BE167" s="289">
        <f>ROUND(1*(1-0.02)*(1+((E166-$E$129)/$E$129)),2)</f>
        <v>1.0900000000000001</v>
      </c>
      <c r="BF167" s="281">
        <f>ROUND(6.4*(1-0.02)*(1+((E166-$E$129)/$E$129)),2)</f>
        <v>6.97</v>
      </c>
      <c r="BH167" s="206">
        <f>ROUND(18.33*(1-0.02)*(1+((E166-$E$129)/$E$129)),2)</f>
        <v>19.96</v>
      </c>
      <c r="BI167" s="285">
        <f>ROUND(1*(1-0.02)*(1+((E166-$E$129)/$E$129)),2)</f>
        <v>1.0900000000000001</v>
      </c>
      <c r="BJ167" s="283">
        <f>ROUND(11.87*(1-0.02)*(1+((E166-$E$129)/$E$129)),2)</f>
        <v>12.92</v>
      </c>
      <c r="BL167" s="215">
        <f>AC167</f>
        <v>12.44</v>
      </c>
      <c r="BM167" s="168">
        <f t="shared" si="172"/>
        <v>1.0900000000000001</v>
      </c>
    </row>
    <row r="168" spans="2:65" x14ac:dyDescent="0.15">
      <c r="B168" s="366"/>
      <c r="C168" s="179">
        <v>43862</v>
      </c>
      <c r="D168" s="180"/>
      <c r="E168" s="181"/>
      <c r="F168" s="182"/>
      <c r="I168" s="315"/>
      <c r="J168" s="315"/>
      <c r="K168" s="315"/>
      <c r="L168" s="315"/>
      <c r="V168" s="144"/>
      <c r="W168" s="431">
        <f>W167</f>
        <v>27.08</v>
      </c>
      <c r="Y168" s="122"/>
      <c r="Z168" s="132">
        <f>+Z167</f>
        <v>8149756.5599999996</v>
      </c>
      <c r="AB168" s="144"/>
      <c r="AC168" s="149">
        <f>+AC167</f>
        <v>12.44</v>
      </c>
      <c r="AE168" s="225"/>
      <c r="AF168" s="226">
        <f>+AF167</f>
        <v>4839063.84</v>
      </c>
      <c r="AO168" s="359">
        <f>AO167</f>
        <v>56.39</v>
      </c>
      <c r="AP168" s="360"/>
      <c r="AR168" s="225"/>
      <c r="AS168" s="226">
        <f>AS167</f>
        <v>1.0900000000000001</v>
      </c>
      <c r="AU168" s="211"/>
      <c r="AV168" s="208">
        <f>AV167</f>
        <v>2.1800000000000002</v>
      </c>
      <c r="AX168" s="225"/>
      <c r="AY168" s="132">
        <f>AY167</f>
        <v>1099.67</v>
      </c>
      <c r="BA168" s="211"/>
      <c r="BB168" s="149">
        <f>BB167</f>
        <v>1304.54</v>
      </c>
      <c r="BD168" s="220">
        <f>BD167</f>
        <v>12.44</v>
      </c>
      <c r="BE168" s="290">
        <f>BE167</f>
        <v>1.0900000000000001</v>
      </c>
      <c r="BF168" s="132">
        <f>BF167</f>
        <v>6.97</v>
      </c>
      <c r="BH168" s="203">
        <f>BH167</f>
        <v>19.96</v>
      </c>
      <c r="BI168" s="286">
        <f>BI167</f>
        <v>1.0900000000000001</v>
      </c>
      <c r="BJ168" s="149">
        <f>BJ167</f>
        <v>12.92</v>
      </c>
      <c r="BL168" s="220">
        <f>AC168</f>
        <v>12.44</v>
      </c>
      <c r="BM168" s="132">
        <f t="shared" si="172"/>
        <v>1.0900000000000001</v>
      </c>
    </row>
    <row r="169" spans="2:65" x14ac:dyDescent="0.15">
      <c r="B169" s="366"/>
      <c r="C169" s="179">
        <v>43891</v>
      </c>
      <c r="D169" s="180"/>
      <c r="E169" s="181"/>
      <c r="F169" s="182"/>
      <c r="I169" s="315"/>
      <c r="J169" s="315"/>
      <c r="K169" s="315"/>
      <c r="L169" s="315"/>
      <c r="S169" s="335"/>
      <c r="V169" s="144"/>
      <c r="W169" s="431">
        <f t="shared" ref="W169:W178" si="179">W168</f>
        <v>27.08</v>
      </c>
      <c r="Y169" s="122"/>
      <c r="Z169" s="132">
        <f t="shared" ref="Z169:Z178" si="180">+Z168</f>
        <v>8149756.5599999996</v>
      </c>
      <c r="AB169" s="144"/>
      <c r="AC169" s="149">
        <f t="shared" ref="AC169:AC178" si="181">+AC168</f>
        <v>12.44</v>
      </c>
      <c r="AE169" s="225"/>
      <c r="AF169" s="226">
        <f t="shared" ref="AF169:AF178" si="182">+AF168</f>
        <v>4839063.84</v>
      </c>
      <c r="AO169" s="359">
        <f>AO168</f>
        <v>56.39</v>
      </c>
      <c r="AP169" s="360"/>
      <c r="AR169" s="225"/>
      <c r="AS169" s="226">
        <f t="shared" ref="AS169:AS178" si="183">+AS168</f>
        <v>1.0900000000000001</v>
      </c>
      <c r="AU169" s="211"/>
      <c r="AV169" s="208">
        <f t="shared" ref="AV169:AV178" si="184">+AV168</f>
        <v>2.1800000000000002</v>
      </c>
      <c r="AX169" s="225"/>
      <c r="AY169" s="132">
        <f t="shared" ref="AY169:AY178" si="185">+AY168</f>
        <v>1099.67</v>
      </c>
      <c r="BA169" s="211"/>
      <c r="BB169" s="149">
        <f t="shared" ref="BB169:BB178" si="186">+BB168</f>
        <v>1304.54</v>
      </c>
      <c r="BD169" s="220">
        <f>+BD168</f>
        <v>12.44</v>
      </c>
      <c r="BE169" s="290">
        <f>+BE168</f>
        <v>1.0900000000000001</v>
      </c>
      <c r="BF169" s="132">
        <f>+BF168</f>
        <v>6.97</v>
      </c>
      <c r="BH169" s="203">
        <f>+BH168</f>
        <v>19.96</v>
      </c>
      <c r="BI169" s="286">
        <f>+BI168</f>
        <v>1.0900000000000001</v>
      </c>
      <c r="BJ169" s="149">
        <f>+BJ168</f>
        <v>12.92</v>
      </c>
      <c r="BL169" s="220">
        <f>AC169</f>
        <v>12.44</v>
      </c>
      <c r="BM169" s="132">
        <f t="shared" si="172"/>
        <v>1.0900000000000001</v>
      </c>
    </row>
    <row r="170" spans="2:65" x14ac:dyDescent="0.15">
      <c r="B170" s="366"/>
      <c r="C170" s="179">
        <v>43922</v>
      </c>
      <c r="D170" s="180"/>
      <c r="E170" s="181"/>
      <c r="F170" s="182"/>
      <c r="I170" s="315"/>
      <c r="J170" s="315"/>
      <c r="K170" s="315"/>
      <c r="L170" s="315"/>
      <c r="V170" s="144"/>
      <c r="W170" s="431">
        <f t="shared" si="179"/>
        <v>27.08</v>
      </c>
      <c r="Y170" s="122"/>
      <c r="Z170" s="132">
        <f t="shared" si="180"/>
        <v>8149756.5599999996</v>
      </c>
      <c r="AB170" s="144"/>
      <c r="AC170" s="149">
        <f t="shared" si="181"/>
        <v>12.44</v>
      </c>
      <c r="AE170" s="225"/>
      <c r="AF170" s="226">
        <f t="shared" si="182"/>
        <v>4839063.84</v>
      </c>
      <c r="AO170" s="359">
        <f>AO169</f>
        <v>56.39</v>
      </c>
      <c r="AP170" s="360"/>
      <c r="AR170" s="225"/>
      <c r="AS170" s="226">
        <f t="shared" si="183"/>
        <v>1.0900000000000001</v>
      </c>
      <c r="AU170" s="211"/>
      <c r="AV170" s="208">
        <f t="shared" si="184"/>
        <v>2.1800000000000002</v>
      </c>
      <c r="AX170" s="225"/>
      <c r="AY170" s="132">
        <f t="shared" si="185"/>
        <v>1099.67</v>
      </c>
      <c r="BA170" s="211"/>
      <c r="BB170" s="149">
        <f t="shared" si="186"/>
        <v>1304.54</v>
      </c>
      <c r="BD170" s="220">
        <f t="shared" ref="BD170:BF170" si="187">+BD169</f>
        <v>12.44</v>
      </c>
      <c r="BE170" s="290">
        <f t="shared" si="187"/>
        <v>1.0900000000000001</v>
      </c>
      <c r="BF170" s="132">
        <f t="shared" si="187"/>
        <v>6.97</v>
      </c>
      <c r="BH170" s="203">
        <f t="shared" ref="BH170:BJ170" si="188">+BH169</f>
        <v>19.96</v>
      </c>
      <c r="BI170" s="286">
        <f t="shared" si="188"/>
        <v>1.0900000000000001</v>
      </c>
      <c r="BJ170" s="149">
        <f t="shared" si="188"/>
        <v>12.92</v>
      </c>
      <c r="BL170" s="220">
        <f>AC170</f>
        <v>12.44</v>
      </c>
      <c r="BM170" s="132">
        <f t="shared" si="172"/>
        <v>1.0900000000000001</v>
      </c>
    </row>
    <row r="171" spans="2:65" x14ac:dyDescent="0.15">
      <c r="B171" s="366"/>
      <c r="C171" s="179">
        <v>43952</v>
      </c>
      <c r="D171" s="180"/>
      <c r="E171" s="181"/>
      <c r="F171" s="182"/>
      <c r="I171" s="315"/>
      <c r="J171" s="315"/>
      <c r="K171" s="315"/>
      <c r="L171" s="315"/>
      <c r="P171" s="335"/>
      <c r="V171" s="144"/>
      <c r="W171" s="431">
        <f t="shared" si="179"/>
        <v>27.08</v>
      </c>
      <c r="Y171" s="122"/>
      <c r="Z171" s="132">
        <f t="shared" si="180"/>
        <v>8149756.5599999996</v>
      </c>
      <c r="AB171" s="144"/>
      <c r="AC171" s="149">
        <f t="shared" si="181"/>
        <v>12.44</v>
      </c>
      <c r="AE171" s="225"/>
      <c r="AF171" s="226">
        <f t="shared" si="182"/>
        <v>4839063.84</v>
      </c>
      <c r="AO171" s="359">
        <f>AO170</f>
        <v>56.39</v>
      </c>
      <c r="AP171" s="360"/>
      <c r="AR171" s="225"/>
      <c r="AS171" s="226">
        <f t="shared" si="183"/>
        <v>1.0900000000000001</v>
      </c>
      <c r="AU171" s="211"/>
      <c r="AV171" s="208">
        <f t="shared" si="184"/>
        <v>2.1800000000000002</v>
      </c>
      <c r="AX171" s="225"/>
      <c r="AY171" s="132">
        <f t="shared" si="185"/>
        <v>1099.67</v>
      </c>
      <c r="BA171" s="211"/>
      <c r="BB171" s="149">
        <f t="shared" si="186"/>
        <v>1304.54</v>
      </c>
      <c r="BD171" s="220">
        <f t="shared" ref="BD171:BF171" si="189">+BD170</f>
        <v>12.44</v>
      </c>
      <c r="BE171" s="290">
        <f t="shared" si="189"/>
        <v>1.0900000000000001</v>
      </c>
      <c r="BF171" s="132">
        <f t="shared" si="189"/>
        <v>6.97</v>
      </c>
      <c r="BH171" s="203">
        <f t="shared" ref="BH171:BJ171" si="190">+BH170</f>
        <v>19.96</v>
      </c>
      <c r="BI171" s="286">
        <f t="shared" si="190"/>
        <v>1.0900000000000001</v>
      </c>
      <c r="BJ171" s="149">
        <f t="shared" si="190"/>
        <v>12.92</v>
      </c>
      <c r="BL171" s="220">
        <f>AC171</f>
        <v>12.44</v>
      </c>
      <c r="BM171" s="132">
        <f t="shared" si="172"/>
        <v>1.0900000000000001</v>
      </c>
    </row>
    <row r="172" spans="2:65" x14ac:dyDescent="0.15">
      <c r="B172" s="366"/>
      <c r="C172" s="179">
        <v>43983</v>
      </c>
      <c r="D172" s="180"/>
      <c r="E172" s="181"/>
      <c r="F172" s="182"/>
      <c r="I172" s="315"/>
      <c r="J172" s="315"/>
      <c r="K172" s="315"/>
      <c r="L172" s="315"/>
      <c r="V172" s="144"/>
      <c r="W172" s="431">
        <f t="shared" si="179"/>
        <v>27.08</v>
      </c>
      <c r="Y172" s="122"/>
      <c r="Z172" s="132">
        <f t="shared" si="180"/>
        <v>8149756.5599999996</v>
      </c>
      <c r="AB172" s="144"/>
      <c r="AC172" s="149">
        <f t="shared" si="181"/>
        <v>12.44</v>
      </c>
      <c r="AE172" s="225"/>
      <c r="AF172" s="226">
        <f t="shared" si="182"/>
        <v>4839063.84</v>
      </c>
      <c r="AO172" s="359">
        <f>AO171</f>
        <v>56.39</v>
      </c>
      <c r="AP172" s="360"/>
      <c r="AR172" s="225"/>
      <c r="AS172" s="226">
        <f t="shared" si="183"/>
        <v>1.0900000000000001</v>
      </c>
      <c r="AU172" s="211"/>
      <c r="AV172" s="208">
        <f t="shared" si="184"/>
        <v>2.1800000000000002</v>
      </c>
      <c r="AX172" s="225"/>
      <c r="AY172" s="132">
        <f t="shared" si="185"/>
        <v>1099.67</v>
      </c>
      <c r="BA172" s="211"/>
      <c r="BB172" s="149">
        <f t="shared" si="186"/>
        <v>1304.54</v>
      </c>
      <c r="BD172" s="220">
        <f t="shared" ref="BD172:BF172" si="191">+BD171</f>
        <v>12.44</v>
      </c>
      <c r="BE172" s="290">
        <f t="shared" si="191"/>
        <v>1.0900000000000001</v>
      </c>
      <c r="BF172" s="132">
        <f t="shared" si="191"/>
        <v>6.97</v>
      </c>
      <c r="BH172" s="203">
        <f t="shared" ref="BH172:BJ172" si="192">+BH171</f>
        <v>19.96</v>
      </c>
      <c r="BI172" s="286">
        <f t="shared" si="192"/>
        <v>1.0900000000000001</v>
      </c>
      <c r="BJ172" s="149">
        <f t="shared" si="192"/>
        <v>12.92</v>
      </c>
      <c r="BL172" s="220">
        <f>AC172</f>
        <v>12.44</v>
      </c>
      <c r="BM172" s="132">
        <f t="shared" si="172"/>
        <v>1.0900000000000001</v>
      </c>
    </row>
    <row r="173" spans="2:65" x14ac:dyDescent="0.15">
      <c r="B173" s="366"/>
      <c r="C173" s="179">
        <v>44013</v>
      </c>
      <c r="D173" s="180"/>
      <c r="E173" s="181"/>
      <c r="F173" s="182"/>
      <c r="V173" s="144"/>
      <c r="W173" s="431">
        <f t="shared" si="179"/>
        <v>27.08</v>
      </c>
      <c r="Y173" s="122"/>
      <c r="Z173" s="132">
        <f t="shared" si="180"/>
        <v>8149756.5599999996</v>
      </c>
      <c r="AB173" s="144"/>
      <c r="AC173" s="149">
        <f t="shared" si="181"/>
        <v>12.44</v>
      </c>
      <c r="AE173" s="225"/>
      <c r="AF173" s="226">
        <f t="shared" si="182"/>
        <v>4839063.84</v>
      </c>
      <c r="AO173" s="359">
        <f>AO172</f>
        <v>56.39</v>
      </c>
      <c r="AP173" s="360"/>
      <c r="AR173" s="225"/>
      <c r="AS173" s="226">
        <f t="shared" si="183"/>
        <v>1.0900000000000001</v>
      </c>
      <c r="AU173" s="211"/>
      <c r="AV173" s="208">
        <f t="shared" si="184"/>
        <v>2.1800000000000002</v>
      </c>
      <c r="AX173" s="225"/>
      <c r="AY173" s="132">
        <f t="shared" si="185"/>
        <v>1099.67</v>
      </c>
      <c r="BA173" s="211"/>
      <c r="BB173" s="149">
        <f t="shared" si="186"/>
        <v>1304.54</v>
      </c>
      <c r="BD173" s="220">
        <f t="shared" ref="BD173:BF173" si="193">+BD172</f>
        <v>12.44</v>
      </c>
      <c r="BE173" s="290">
        <f t="shared" si="193"/>
        <v>1.0900000000000001</v>
      </c>
      <c r="BF173" s="132">
        <f t="shared" si="193"/>
        <v>6.97</v>
      </c>
      <c r="BH173" s="203">
        <f t="shared" ref="BH173:BJ173" si="194">+BH172</f>
        <v>19.96</v>
      </c>
      <c r="BI173" s="286">
        <f t="shared" si="194"/>
        <v>1.0900000000000001</v>
      </c>
      <c r="BJ173" s="149">
        <f t="shared" si="194"/>
        <v>12.92</v>
      </c>
      <c r="BL173" s="220">
        <f>AC173</f>
        <v>12.44</v>
      </c>
      <c r="BM173" s="132">
        <f t="shared" si="172"/>
        <v>1.0900000000000001</v>
      </c>
    </row>
    <row r="174" spans="2:65" x14ac:dyDescent="0.15">
      <c r="B174" s="366"/>
      <c r="C174" s="179">
        <v>44044</v>
      </c>
      <c r="D174" s="180"/>
      <c r="E174" s="181"/>
      <c r="F174" s="182"/>
      <c r="V174" s="144"/>
      <c r="W174" s="431">
        <f t="shared" si="179"/>
        <v>27.08</v>
      </c>
      <c r="Y174" s="122"/>
      <c r="Z174" s="132">
        <f>+Z173</f>
        <v>8149756.5599999996</v>
      </c>
      <c r="AB174" s="144"/>
      <c r="AC174" s="149">
        <f t="shared" si="181"/>
        <v>12.44</v>
      </c>
      <c r="AE174" s="225"/>
      <c r="AF174" s="226">
        <f t="shared" si="182"/>
        <v>4839063.84</v>
      </c>
      <c r="AO174" s="359">
        <f>AO173</f>
        <v>56.39</v>
      </c>
      <c r="AP174" s="360"/>
      <c r="AR174" s="225"/>
      <c r="AS174" s="226">
        <f t="shared" si="183"/>
        <v>1.0900000000000001</v>
      </c>
      <c r="AU174" s="211"/>
      <c r="AV174" s="208">
        <f t="shared" si="184"/>
        <v>2.1800000000000002</v>
      </c>
      <c r="AX174" s="225"/>
      <c r="AY174" s="132">
        <f t="shared" si="185"/>
        <v>1099.67</v>
      </c>
      <c r="BA174" s="211"/>
      <c r="BB174" s="149">
        <f t="shared" si="186"/>
        <v>1304.54</v>
      </c>
      <c r="BD174" s="220">
        <f t="shared" ref="BD174:BF174" si="195">+BD173</f>
        <v>12.44</v>
      </c>
      <c r="BE174" s="290">
        <f t="shared" si="195"/>
        <v>1.0900000000000001</v>
      </c>
      <c r="BF174" s="132">
        <f t="shared" si="195"/>
        <v>6.97</v>
      </c>
      <c r="BH174" s="203">
        <f t="shared" ref="BH174:BJ174" si="196">+BH173</f>
        <v>19.96</v>
      </c>
      <c r="BI174" s="286">
        <f t="shared" si="196"/>
        <v>1.0900000000000001</v>
      </c>
      <c r="BJ174" s="149">
        <f t="shared" si="196"/>
        <v>12.92</v>
      </c>
      <c r="BL174" s="220">
        <f>AC174</f>
        <v>12.44</v>
      </c>
      <c r="BM174" s="132">
        <f t="shared" si="172"/>
        <v>1.0900000000000001</v>
      </c>
    </row>
    <row r="175" spans="2:65" x14ac:dyDescent="0.15">
      <c r="B175" s="366"/>
      <c r="C175" s="179">
        <v>44075</v>
      </c>
      <c r="D175" s="180"/>
      <c r="E175" s="181"/>
      <c r="F175" s="182"/>
      <c r="V175" s="144"/>
      <c r="W175" s="431">
        <f t="shared" si="179"/>
        <v>27.08</v>
      </c>
      <c r="Y175" s="122"/>
      <c r="Z175" s="132">
        <f t="shared" si="180"/>
        <v>8149756.5599999996</v>
      </c>
      <c r="AB175" s="144"/>
      <c r="AC175" s="149">
        <f t="shared" si="181"/>
        <v>12.44</v>
      </c>
      <c r="AE175" s="225"/>
      <c r="AF175" s="226">
        <f t="shared" si="182"/>
        <v>4839063.84</v>
      </c>
      <c r="AO175" s="359">
        <f>AO174</f>
        <v>56.39</v>
      </c>
      <c r="AP175" s="360"/>
      <c r="AR175" s="225"/>
      <c r="AS175" s="226">
        <f t="shared" si="183"/>
        <v>1.0900000000000001</v>
      </c>
      <c r="AU175" s="211"/>
      <c r="AV175" s="208">
        <f t="shared" si="184"/>
        <v>2.1800000000000002</v>
      </c>
      <c r="AX175" s="225"/>
      <c r="AY175" s="132">
        <f t="shared" si="185"/>
        <v>1099.67</v>
      </c>
      <c r="BA175" s="211"/>
      <c r="BB175" s="149">
        <f t="shared" si="186"/>
        <v>1304.54</v>
      </c>
      <c r="BD175" s="220">
        <f>+BD174</f>
        <v>12.44</v>
      </c>
      <c r="BE175" s="290">
        <f>+BE174</f>
        <v>1.0900000000000001</v>
      </c>
      <c r="BF175" s="132">
        <f>+BF174</f>
        <v>6.97</v>
      </c>
      <c r="BH175" s="203">
        <f>+BH174</f>
        <v>19.96</v>
      </c>
      <c r="BI175" s="286">
        <f>+BI174</f>
        <v>1.0900000000000001</v>
      </c>
      <c r="BJ175" s="149">
        <f>+BJ174</f>
        <v>12.92</v>
      </c>
      <c r="BL175" s="220">
        <f>AC175</f>
        <v>12.44</v>
      </c>
      <c r="BM175" s="132">
        <f t="shared" si="172"/>
        <v>1.0900000000000001</v>
      </c>
    </row>
    <row r="176" spans="2:65" x14ac:dyDescent="0.15">
      <c r="B176" s="366"/>
      <c r="C176" s="179">
        <v>44105</v>
      </c>
      <c r="D176" s="180"/>
      <c r="E176" s="181"/>
      <c r="F176" s="182"/>
      <c r="V176" s="144"/>
      <c r="W176" s="431">
        <f t="shared" si="179"/>
        <v>27.08</v>
      </c>
      <c r="Y176" s="122"/>
      <c r="Z176" s="132">
        <f t="shared" si="180"/>
        <v>8149756.5599999996</v>
      </c>
      <c r="AB176" s="144"/>
      <c r="AC176" s="149">
        <f t="shared" si="181"/>
        <v>12.44</v>
      </c>
      <c r="AE176" s="225"/>
      <c r="AF176" s="226">
        <f t="shared" si="182"/>
        <v>4839063.84</v>
      </c>
      <c r="AO176" s="359">
        <f>AO175</f>
        <v>56.39</v>
      </c>
      <c r="AP176" s="360"/>
      <c r="AR176" s="225"/>
      <c r="AS176" s="226">
        <f>+AS175</f>
        <v>1.0900000000000001</v>
      </c>
      <c r="AU176" s="211"/>
      <c r="AV176" s="208">
        <f>+AV175</f>
        <v>2.1800000000000002</v>
      </c>
      <c r="AX176" s="225"/>
      <c r="AY176" s="132">
        <f t="shared" si="185"/>
        <v>1099.67</v>
      </c>
      <c r="BA176" s="211"/>
      <c r="BB176" s="149">
        <f t="shared" si="186"/>
        <v>1304.54</v>
      </c>
      <c r="BD176" s="220">
        <f t="shared" ref="BD176:BF176" si="197">+BD175</f>
        <v>12.44</v>
      </c>
      <c r="BE176" s="290">
        <f t="shared" si="197"/>
        <v>1.0900000000000001</v>
      </c>
      <c r="BF176" s="132">
        <f t="shared" si="197"/>
        <v>6.97</v>
      </c>
      <c r="BH176" s="203">
        <f t="shared" ref="BH176:BJ176" si="198">+BH175</f>
        <v>19.96</v>
      </c>
      <c r="BI176" s="286">
        <f t="shared" si="198"/>
        <v>1.0900000000000001</v>
      </c>
      <c r="BJ176" s="149">
        <f t="shared" si="198"/>
        <v>12.92</v>
      </c>
      <c r="BL176" s="220">
        <f>AC176</f>
        <v>12.44</v>
      </c>
      <c r="BM176" s="132">
        <f t="shared" si="172"/>
        <v>1.0900000000000001</v>
      </c>
    </row>
    <row r="177" spans="2:65" x14ac:dyDescent="0.15">
      <c r="B177" s="366"/>
      <c r="C177" s="179">
        <v>44136</v>
      </c>
      <c r="D177" s="180"/>
      <c r="E177" s="181"/>
      <c r="F177" s="182"/>
      <c r="V177" s="144"/>
      <c r="W177" s="431">
        <f t="shared" si="179"/>
        <v>27.08</v>
      </c>
      <c r="Y177" s="122"/>
      <c r="Z177" s="132">
        <f t="shared" si="180"/>
        <v>8149756.5599999996</v>
      </c>
      <c r="AB177" s="144"/>
      <c r="AC177" s="149">
        <f t="shared" si="181"/>
        <v>12.44</v>
      </c>
      <c r="AE177" s="225"/>
      <c r="AF177" s="226">
        <f t="shared" si="182"/>
        <v>4839063.84</v>
      </c>
      <c r="AO177" s="359">
        <f>AO176</f>
        <v>56.39</v>
      </c>
      <c r="AP177" s="360"/>
      <c r="AR177" s="225"/>
      <c r="AS177" s="226">
        <f t="shared" si="183"/>
        <v>1.0900000000000001</v>
      </c>
      <c r="AU177" s="211"/>
      <c r="AV177" s="208">
        <f t="shared" si="184"/>
        <v>2.1800000000000002</v>
      </c>
      <c r="AX177" s="225"/>
      <c r="AY177" s="132">
        <f t="shared" si="185"/>
        <v>1099.67</v>
      </c>
      <c r="BA177" s="211"/>
      <c r="BB177" s="149">
        <f t="shared" si="186"/>
        <v>1304.54</v>
      </c>
      <c r="BD177" s="220">
        <f t="shared" ref="BD177:BF177" si="199">+BD176</f>
        <v>12.44</v>
      </c>
      <c r="BE177" s="290">
        <f t="shared" si="199"/>
        <v>1.0900000000000001</v>
      </c>
      <c r="BF177" s="132">
        <f t="shared" si="199"/>
        <v>6.97</v>
      </c>
      <c r="BH177" s="203">
        <f t="shared" ref="BH177:BJ177" si="200">+BH176</f>
        <v>19.96</v>
      </c>
      <c r="BI177" s="286">
        <f t="shared" si="200"/>
        <v>1.0900000000000001</v>
      </c>
      <c r="BJ177" s="149">
        <f t="shared" si="200"/>
        <v>12.92</v>
      </c>
      <c r="BL177" s="220">
        <f>AC177</f>
        <v>12.44</v>
      </c>
      <c r="BM177" s="132">
        <f t="shared" si="172"/>
        <v>1.0900000000000001</v>
      </c>
    </row>
    <row r="178" spans="2:65" ht="11.25" thickBot="1" x14ac:dyDescent="0.2">
      <c r="B178" s="367"/>
      <c r="C178" s="183">
        <v>44166</v>
      </c>
      <c r="D178" s="190"/>
      <c r="E178" s="191"/>
      <c r="F178" s="192"/>
      <c r="V178" s="154"/>
      <c r="W178" s="432">
        <f t="shared" si="179"/>
        <v>27.08</v>
      </c>
      <c r="Y178" s="118"/>
      <c r="Z178" s="136">
        <f t="shared" si="180"/>
        <v>8149756.5599999996</v>
      </c>
      <c r="AB178" s="154"/>
      <c r="AC178" s="147">
        <f t="shared" si="181"/>
        <v>12.44</v>
      </c>
      <c r="AE178" s="228"/>
      <c r="AF178" s="229">
        <f t="shared" si="182"/>
        <v>4839063.84</v>
      </c>
      <c r="AO178" s="361">
        <f>AO177</f>
        <v>56.39</v>
      </c>
      <c r="AP178" s="362"/>
      <c r="AR178" s="282"/>
      <c r="AS178" s="229">
        <f t="shared" si="183"/>
        <v>1.0900000000000001</v>
      </c>
      <c r="AU178" s="284"/>
      <c r="AV178" s="214">
        <f t="shared" si="184"/>
        <v>2.1800000000000002</v>
      </c>
      <c r="AX178" s="282"/>
      <c r="AY178" s="136">
        <f t="shared" si="185"/>
        <v>1099.67</v>
      </c>
      <c r="BA178" s="284"/>
      <c r="BB178" s="147">
        <f t="shared" si="186"/>
        <v>1304.54</v>
      </c>
      <c r="BD178" s="291">
        <f t="shared" ref="BD178:BF178" si="201">+BD177</f>
        <v>12.44</v>
      </c>
      <c r="BE178" s="292">
        <f t="shared" si="201"/>
        <v>1.0900000000000001</v>
      </c>
      <c r="BF178" s="136">
        <f t="shared" si="201"/>
        <v>6.97</v>
      </c>
      <c r="BH178" s="246">
        <f t="shared" ref="BH178:BJ178" si="202">+BH177</f>
        <v>19.96</v>
      </c>
      <c r="BI178" s="287">
        <f t="shared" si="202"/>
        <v>1.0900000000000001</v>
      </c>
      <c r="BJ178" s="147">
        <f t="shared" si="202"/>
        <v>12.92</v>
      </c>
      <c r="BL178" s="291">
        <f>AC178</f>
        <v>12.44</v>
      </c>
      <c r="BM178" s="136">
        <f t="shared" si="172"/>
        <v>1.0900000000000001</v>
      </c>
    </row>
    <row r="180" spans="2:65" x14ac:dyDescent="0.15">
      <c r="AB180" s="315"/>
      <c r="AC180" s="315"/>
      <c r="AD180" s="315"/>
      <c r="AE180" s="315"/>
      <c r="AF180" s="315"/>
      <c r="AH180" s="315"/>
      <c r="AI180" s="315"/>
      <c r="AS180" s="338"/>
      <c r="AV180" s="338"/>
    </row>
    <row r="181" spans="2:65" x14ac:dyDescent="0.15">
      <c r="AB181" s="315"/>
      <c r="AC181" s="336"/>
      <c r="AD181" s="315"/>
      <c r="AE181" s="315"/>
      <c r="AF181" s="337"/>
      <c r="AH181" s="315"/>
      <c r="AI181" s="315"/>
      <c r="AY181" s="338"/>
    </row>
    <row r="182" spans="2:65" x14ac:dyDescent="0.15">
      <c r="AB182" s="315"/>
      <c r="AC182" s="315"/>
      <c r="AD182" s="315"/>
      <c r="AE182" s="315"/>
      <c r="AF182" s="315"/>
      <c r="AH182" s="315"/>
      <c r="AI182" s="315"/>
    </row>
    <row r="183" spans="2:65" x14ac:dyDescent="0.15">
      <c r="AB183" s="315"/>
      <c r="AC183" s="315"/>
      <c r="AD183" s="315"/>
      <c r="AE183" s="315"/>
      <c r="AF183" s="315"/>
      <c r="AH183" s="315"/>
      <c r="AI183" s="315"/>
    </row>
    <row r="184" spans="2:65" x14ac:dyDescent="0.15">
      <c r="AB184" s="315"/>
      <c r="AC184" s="315"/>
      <c r="AD184" s="315"/>
      <c r="AE184" s="315"/>
      <c r="AF184" s="315"/>
      <c r="AH184" s="315"/>
      <c r="AI184" s="315"/>
    </row>
    <row r="185" spans="2:65" x14ac:dyDescent="0.15">
      <c r="AB185" s="315"/>
      <c r="AC185" s="315"/>
      <c r="AD185" s="315"/>
      <c r="AE185" s="315"/>
      <c r="AF185" s="315"/>
      <c r="AH185" s="315"/>
      <c r="AI185" s="315"/>
    </row>
    <row r="186" spans="2:65" x14ac:dyDescent="0.15">
      <c r="AB186" s="315"/>
      <c r="AC186" s="315"/>
      <c r="AD186" s="315"/>
      <c r="AE186" s="315"/>
      <c r="AF186" s="315"/>
      <c r="AH186" s="315"/>
      <c r="AI186" s="315"/>
    </row>
  </sheetData>
  <mergeCells count="119">
    <mergeCell ref="AO2:AP2"/>
    <mergeCell ref="BL4:BM4"/>
    <mergeCell ref="BL6:BM6"/>
    <mergeCell ref="AU4:AV4"/>
    <mergeCell ref="AU6:AV6"/>
    <mergeCell ref="BD2:BM2"/>
    <mergeCell ref="AX2:BB2"/>
    <mergeCell ref="AR2:AV2"/>
    <mergeCell ref="B167:B178"/>
    <mergeCell ref="V6:W6"/>
    <mergeCell ref="Y6:Z6"/>
    <mergeCell ref="H2:T2"/>
    <mergeCell ref="H4:M4"/>
    <mergeCell ref="B143:B154"/>
    <mergeCell ref="B81:B92"/>
    <mergeCell ref="H6:I6"/>
    <mergeCell ref="B117:B128"/>
    <mergeCell ref="B105:B116"/>
    <mergeCell ref="B57:B68"/>
    <mergeCell ref="B45:B56"/>
    <mergeCell ref="B33:B44"/>
    <mergeCell ref="S6:T6"/>
    <mergeCell ref="O6:P6"/>
    <mergeCell ref="B21:B32"/>
    <mergeCell ref="B9:B20"/>
    <mergeCell ref="AO149:AP149"/>
    <mergeCell ref="AO150:AP150"/>
    <mergeCell ref="AO151:AP151"/>
    <mergeCell ref="AO152:AP152"/>
    <mergeCell ref="AO143:AP143"/>
    <mergeCell ref="AO144:AP144"/>
    <mergeCell ref="AO145:AP145"/>
    <mergeCell ref="AO146:AP146"/>
    <mergeCell ref="AO147:AP147"/>
    <mergeCell ref="AO126:AP126"/>
    <mergeCell ref="AO127:AP127"/>
    <mergeCell ref="B69:B80"/>
    <mergeCell ref="B93:B104"/>
    <mergeCell ref="B129:B142"/>
    <mergeCell ref="BH4:BJ4"/>
    <mergeCell ref="BH6:BJ6"/>
    <mergeCell ref="AO128:AP128"/>
    <mergeCell ref="AO4:AP4"/>
    <mergeCell ref="AO6:AP6"/>
    <mergeCell ref="AO117:AP117"/>
    <mergeCell ref="AO118:AP118"/>
    <mergeCell ref="AO119:AP119"/>
    <mergeCell ref="AO120:AP120"/>
    <mergeCell ref="AO121:AP121"/>
    <mergeCell ref="AO122:AP122"/>
    <mergeCell ref="AO123:AP123"/>
    <mergeCell ref="AO124:AP124"/>
    <mergeCell ref="AO125:AP125"/>
    <mergeCell ref="AR6:AS6"/>
    <mergeCell ref="BD6:BF6"/>
    <mergeCell ref="BD4:BF4"/>
    <mergeCell ref="AX6:AY6"/>
    <mergeCell ref="BA6:BB6"/>
    <mergeCell ref="AR4:AS4"/>
    <mergeCell ref="AX4:AY4"/>
    <mergeCell ref="BA4:BB4"/>
    <mergeCell ref="AO154:AP154"/>
    <mergeCell ref="AO148:AP148"/>
    <mergeCell ref="AB2:AF2"/>
    <mergeCell ref="AK2:AM2"/>
    <mergeCell ref="AH2:AI2"/>
    <mergeCell ref="AE4:AF4"/>
    <mergeCell ref="O4:T4"/>
    <mergeCell ref="V2:Z2"/>
    <mergeCell ref="V4:W4"/>
    <mergeCell ref="Y4:Z4"/>
    <mergeCell ref="AH6:AI6"/>
    <mergeCell ref="AK6:AM6"/>
    <mergeCell ref="AK4:AM4"/>
    <mergeCell ref="AH4:AI4"/>
    <mergeCell ref="AB4:AC4"/>
    <mergeCell ref="AE6:AF6"/>
    <mergeCell ref="AB6:AC6"/>
    <mergeCell ref="L6:M6"/>
    <mergeCell ref="AO141:AP141"/>
    <mergeCell ref="AO142:AP142"/>
    <mergeCell ref="AO131:AP131"/>
    <mergeCell ref="AO138:AP138"/>
    <mergeCell ref="AO135:AP135"/>
    <mergeCell ref="AO136:AP136"/>
    <mergeCell ref="AO137:AP137"/>
    <mergeCell ref="AO139:AP139"/>
    <mergeCell ref="AO140:AP140"/>
    <mergeCell ref="AO129:AP129"/>
    <mergeCell ref="AO130:AP130"/>
    <mergeCell ref="AO132:AP132"/>
    <mergeCell ref="AO133:AP133"/>
    <mergeCell ref="AO134:AP134"/>
    <mergeCell ref="B155:B166"/>
    <mergeCell ref="AO155:AP155"/>
    <mergeCell ref="AO156:AP156"/>
    <mergeCell ref="AO157:AP157"/>
    <mergeCell ref="AO158:AP158"/>
    <mergeCell ref="AO159:AP159"/>
    <mergeCell ref="AO160:AP160"/>
    <mergeCell ref="AO161:AP161"/>
    <mergeCell ref="AO162:AP162"/>
    <mergeCell ref="AO163:AP163"/>
    <mergeCell ref="AO164:AP164"/>
    <mergeCell ref="AO165:AP165"/>
    <mergeCell ref="AO166:AP166"/>
    <mergeCell ref="AO176:AP176"/>
    <mergeCell ref="AO177:AP177"/>
    <mergeCell ref="AO178:AP178"/>
    <mergeCell ref="AO171:AP171"/>
    <mergeCell ref="AO172:AP172"/>
    <mergeCell ref="AO173:AP173"/>
    <mergeCell ref="AO174:AP174"/>
    <mergeCell ref="AO175:AP175"/>
    <mergeCell ref="AO153:AP153"/>
    <mergeCell ref="AO167:AP167"/>
    <mergeCell ref="AO168:AP168"/>
    <mergeCell ref="AO169:AP169"/>
    <mergeCell ref="AO170:AP170"/>
  </mergeCells>
  <phoneticPr fontId="0" type="noConversion"/>
  <pageMargins left="0.7" right="0.7" top="0.75" bottom="0.75" header="0.3" footer="0.3"/>
  <pageSetup orientation="portrait" r:id="rId1"/>
  <ignoredErrors>
    <ignoredError sqref="E34 E86:E88" formulaRange="1"/>
    <ignoredError sqref="O33 AI81 Q33:T33 J33:N33 AB33:AC3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 antes de Res 1763 de 2007</vt:lpstr>
      <vt:lpstr>CA despues de Res 1763 de 2007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orlando.garces</dc:creator>
  <cp:lastModifiedBy>Miguel Andres  Duran</cp:lastModifiedBy>
  <dcterms:created xsi:type="dcterms:W3CDTF">2007-07-19T18:20:09Z</dcterms:created>
  <dcterms:modified xsi:type="dcterms:W3CDTF">2020-01-08T16:56:33Z</dcterms:modified>
</cp:coreProperties>
</file>