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backupFile="1" defaultThemeVersion="124226"/>
  <mc:AlternateContent xmlns:mc="http://schemas.openxmlformats.org/markup-compatibility/2006">
    <mc:Choice Requires="x15">
      <x15ac:absPath xmlns:x15ac="http://schemas.microsoft.com/office/spreadsheetml/2010/11/ac" url="https://crcom.sharepoint.com/sites/Actualizacindevaloresregulados/Documentos compartidos/Valores Regulados/Anuales/CA - Redes Fijas y Móviles/Actualización/"/>
    </mc:Choice>
  </mc:AlternateContent>
  <xr:revisionPtr revIDLastSave="566" documentId="13_ncr:1_{E47DA755-70D0-46B7-941E-A9F6B2ED9413}" xr6:coauthVersionLast="46" xr6:coauthVersionMax="46" xr10:uidLastSave="{F746C715-458A-4755-935F-738B94D12F9B}"/>
  <bookViews>
    <workbookView xWindow="-120" yWindow="-120" windowWidth="20730" windowHeight="11310" tabRatio="708" activeTab="1" xr2:uid="{00000000-000D-0000-FFFF-FFFF00000000}"/>
  </bookViews>
  <sheets>
    <sheet name="Antes de Res. 1763 de 2007" sheetId="1" r:id="rId1"/>
    <sheet name="Después de Res. 1763 de 2007"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C179" i="13" l="1"/>
  <c r="BK179" i="13"/>
  <c r="AS179" i="13"/>
  <c r="BF179" i="13"/>
  <c r="AZ179" i="13"/>
  <c r="AG179" i="13"/>
  <c r="AW179" i="13"/>
  <c r="AA179" i="13"/>
  <c r="U179" i="13"/>
  <c r="AA167" i="13"/>
  <c r="BC181" i="13" l="1"/>
  <c r="BC182" i="13" s="1"/>
  <c r="BC183" i="13" s="1"/>
  <c r="BC184" i="13" s="1"/>
  <c r="BC185" i="13" s="1"/>
  <c r="BC186" i="13" s="1"/>
  <c r="BC187" i="13" s="1"/>
  <c r="BC188" i="13" s="1"/>
  <c r="BC189" i="13" s="1"/>
  <c r="BC190" i="13" s="1"/>
  <c r="BC180" i="13"/>
  <c r="BC167" i="13"/>
  <c r="AJ179" i="13"/>
  <c r="E159" i="13"/>
  <c r="E158" i="13"/>
  <c r="E157" i="13"/>
  <c r="E156" i="13"/>
  <c r="E155" i="13"/>
  <c r="E154" i="13"/>
  <c r="E153" i="13"/>
  <c r="E152" i="13"/>
  <c r="E151" i="13"/>
  <c r="E150" i="13"/>
  <c r="E149" i="13"/>
  <c r="E167" i="13"/>
  <c r="E166" i="13"/>
  <c r="E178" i="13"/>
  <c r="F169" i="13"/>
  <c r="E177" i="13"/>
  <c r="F177" i="13" s="1"/>
  <c r="E176" i="13"/>
  <c r="F176" i="13" s="1"/>
  <c r="E175" i="13"/>
  <c r="E174" i="13"/>
  <c r="E173" i="13"/>
  <c r="E172" i="13"/>
  <c r="E171" i="13"/>
  <c r="F171" i="13" s="1"/>
  <c r="E170" i="13"/>
  <c r="F170" i="13" s="1"/>
  <c r="E169" i="13"/>
  <c r="E168" i="13"/>
  <c r="F174" i="13" l="1"/>
  <c r="F172" i="13"/>
  <c r="F155" i="13"/>
  <c r="F173" i="13"/>
  <c r="F168" i="13"/>
  <c r="F175" i="13"/>
  <c r="F167" i="13"/>
  <c r="X179" i="13"/>
  <c r="X180" i="13" s="1"/>
  <c r="X181" i="13" s="1"/>
  <c r="X182" i="13" s="1"/>
  <c r="X183" i="13" s="1"/>
  <c r="X184" i="13" s="1"/>
  <c r="X185" i="13" s="1"/>
  <c r="X186" i="13" s="1"/>
  <c r="X187" i="13" s="1"/>
  <c r="X188" i="13" s="1"/>
  <c r="X189" i="13" s="1"/>
  <c r="X190" i="13" s="1"/>
  <c r="X167" i="13"/>
  <c r="U167" i="13"/>
  <c r="F178" i="13"/>
  <c r="U168" i="13" l="1"/>
  <c r="U180" i="13"/>
  <c r="U181" i="13" s="1"/>
  <c r="U182" i="13" s="1"/>
  <c r="U183" i="13" s="1"/>
  <c r="U184" i="13" s="1"/>
  <c r="U185" i="13" s="1"/>
  <c r="U186" i="13" s="1"/>
  <c r="U187" i="13" s="1"/>
  <c r="U188" i="13" s="1"/>
  <c r="U189" i="13" s="1"/>
  <c r="U190" i="13" s="1"/>
  <c r="BC131" i="13" l="1"/>
  <c r="BC139" i="13" s="1"/>
  <c r="AZ132" i="13"/>
  <c r="AZ131" i="13"/>
  <c r="AZ141" i="13" s="1"/>
  <c r="AZ93" i="13"/>
  <c r="AW105" i="13" s="1"/>
  <c r="AW111" i="13" s="1"/>
  <c r="AZ80" i="13"/>
  <c r="AZ142" i="13"/>
  <c r="AZ140" i="13"/>
  <c r="AZ139" i="13"/>
  <c r="AZ138" i="13"/>
  <c r="AZ137" i="13"/>
  <c r="AZ136" i="13"/>
  <c r="AZ135" i="13"/>
  <c r="AZ134" i="13"/>
  <c r="AZ133" i="13"/>
  <c r="AW131" i="13"/>
  <c r="AW136" i="13" s="1"/>
  <c r="AJ93" i="13"/>
  <c r="AG93" i="13"/>
  <c r="AG98" i="13" s="1"/>
  <c r="AJ78" i="13"/>
  <c r="AJ45" i="13"/>
  <c r="AJ53" i="13" s="1"/>
  <c r="AG45" i="13"/>
  <c r="AG56" i="13" s="1"/>
  <c r="AJ80" i="13"/>
  <c r="AJ79" i="13"/>
  <c r="AJ76" i="13"/>
  <c r="AJ75" i="13"/>
  <c r="AG78" i="13"/>
  <c r="AG75" i="13"/>
  <c r="AG73" i="13"/>
  <c r="AG80" i="13"/>
  <c r="AG100" i="13"/>
  <c r="AG99" i="13"/>
  <c r="AG96" i="13"/>
  <c r="AW142" i="13"/>
  <c r="AW135" i="13"/>
  <c r="AW134" i="13"/>
  <c r="AG103" i="13" l="1"/>
  <c r="AG102" i="13"/>
  <c r="AG94" i="13"/>
  <c r="AG104" i="13"/>
  <c r="AG95" i="13"/>
  <c r="AG54" i="13"/>
  <c r="AW138" i="13"/>
  <c r="AG46" i="13"/>
  <c r="AW137" i="13"/>
  <c r="AW139" i="13"/>
  <c r="AW132" i="13"/>
  <c r="AW140" i="13"/>
  <c r="AZ96" i="13"/>
  <c r="AW133" i="13"/>
  <c r="AW141" i="13"/>
  <c r="AG101" i="13"/>
  <c r="AA105" i="13"/>
  <c r="AJ104" i="13"/>
  <c r="AD105" i="13"/>
  <c r="AD106" i="13" s="1"/>
  <c r="BC136" i="13"/>
  <c r="AG74" i="13"/>
  <c r="AG79" i="13"/>
  <c r="AG49" i="13"/>
  <c r="AZ100" i="13"/>
  <c r="BC137" i="13"/>
  <c r="AG50" i="13"/>
  <c r="AZ104" i="13"/>
  <c r="BC132" i="13"/>
  <c r="BC140" i="13"/>
  <c r="AG77" i="13"/>
  <c r="AG53" i="13"/>
  <c r="BC133" i="13"/>
  <c r="BC141" i="13"/>
  <c r="AJ54" i="13"/>
  <c r="AJ97" i="13"/>
  <c r="AZ70" i="13"/>
  <c r="AJ46" i="13"/>
  <c r="AJ50" i="13"/>
  <c r="AJ101" i="13"/>
  <c r="AZ73" i="13"/>
  <c r="AJ51" i="13"/>
  <c r="AJ94" i="13"/>
  <c r="AJ98" i="13"/>
  <c r="AZ74" i="13"/>
  <c r="AZ78" i="13"/>
  <c r="AZ97" i="13"/>
  <c r="AZ101" i="13"/>
  <c r="AG97" i="13"/>
  <c r="AG76" i="13"/>
  <c r="AJ77" i="13"/>
  <c r="AG47" i="13"/>
  <c r="AG51" i="13"/>
  <c r="AG55" i="13"/>
  <c r="AJ48" i="13"/>
  <c r="AJ52" i="13"/>
  <c r="AJ56" i="13"/>
  <c r="AJ73" i="13"/>
  <c r="AJ95" i="13"/>
  <c r="AJ99" i="13"/>
  <c r="AJ103" i="13"/>
  <c r="AZ71" i="13"/>
  <c r="AZ75" i="13"/>
  <c r="AZ79" i="13"/>
  <c r="AZ94" i="13"/>
  <c r="AZ98" i="13"/>
  <c r="AZ102" i="13"/>
  <c r="BC134" i="13"/>
  <c r="BC138" i="13"/>
  <c r="BC142" i="13"/>
  <c r="AZ77" i="13"/>
  <c r="AJ47" i="13"/>
  <c r="AJ55" i="13"/>
  <c r="AJ102" i="13"/>
  <c r="AJ74" i="13"/>
  <c r="AG48" i="13"/>
  <c r="AG52" i="13"/>
  <c r="AJ49" i="13"/>
  <c r="AJ96" i="13"/>
  <c r="AJ100" i="13"/>
  <c r="AZ72" i="13"/>
  <c r="AZ76" i="13"/>
  <c r="AZ95" i="13"/>
  <c r="AZ99" i="13"/>
  <c r="AZ103" i="13"/>
  <c r="BC135" i="13"/>
  <c r="AW113" i="13"/>
  <c r="AW108" i="13"/>
  <c r="AW109" i="13"/>
  <c r="AW106" i="13"/>
  <c r="AW116" i="13"/>
  <c r="AW112" i="13"/>
  <c r="AW107" i="13"/>
  <c r="AW115" i="13"/>
  <c r="AW110" i="13"/>
  <c r="AW114" i="13"/>
  <c r="E144" i="13"/>
  <c r="BK132" i="13" l="1"/>
  <c r="BK133" i="13" s="1"/>
  <c r="BK134" i="13" s="1"/>
  <c r="BK135" i="13" s="1"/>
  <c r="BK136" i="13" s="1"/>
  <c r="BK137" i="13" s="1"/>
  <c r="BK138" i="13" l="1"/>
  <c r="BK139" i="13"/>
  <c r="BK140" i="13" s="1"/>
  <c r="BK141" i="13" s="1"/>
  <c r="BK142" i="13" s="1"/>
  <c r="E162" i="13"/>
  <c r="E163" i="13"/>
  <c r="E164" i="13"/>
  <c r="E165" i="13"/>
  <c r="F166" i="13" s="1"/>
  <c r="F163" i="13" l="1"/>
  <c r="F165" i="13"/>
  <c r="F164" i="13"/>
  <c r="E161" i="13" l="1"/>
  <c r="F162" i="13" s="1"/>
  <c r="E160" i="13" l="1"/>
  <c r="F160" i="13" l="1"/>
  <c r="F161" i="13"/>
  <c r="X168" i="13" l="1"/>
  <c r="X169" i="13" s="1"/>
  <c r="X170" i="13" s="1"/>
  <c r="X171" i="13" s="1"/>
  <c r="X172" i="13" s="1"/>
  <c r="X173" i="13" s="1"/>
  <c r="X174" i="13" s="1"/>
  <c r="X175" i="13" s="1"/>
  <c r="X176" i="13" s="1"/>
  <c r="X177" i="13" s="1"/>
  <c r="X178" i="13" s="1"/>
  <c r="U169" i="13"/>
  <c r="U170" i="13" s="1"/>
  <c r="U171" i="13" s="1"/>
  <c r="U172" i="13" s="1"/>
  <c r="U173" i="13" s="1"/>
  <c r="U174" i="13" s="1"/>
  <c r="U175" i="13" s="1"/>
  <c r="U176" i="13" s="1"/>
  <c r="U177" i="13" s="1"/>
  <c r="U178" i="13" s="1"/>
  <c r="F157" i="13"/>
  <c r="F156" i="13"/>
  <c r="F158" i="13"/>
  <c r="F159" i="13"/>
  <c r="AP159" i="13" l="1"/>
  <c r="AP158" i="13"/>
  <c r="AP157" i="13"/>
  <c r="AP161" i="13" s="1"/>
  <c r="AP156" i="13"/>
  <c r="AP160" i="13" s="1"/>
  <c r="F154" i="13" l="1"/>
  <c r="F153" i="13" l="1"/>
  <c r="E148" i="13"/>
  <c r="E147" i="13"/>
  <c r="E146" i="13"/>
  <c r="F149" i="13" l="1"/>
  <c r="F150" i="13"/>
  <c r="F151" i="13"/>
  <c r="F152" i="13"/>
  <c r="F147" i="13"/>
  <c r="E145" i="13"/>
  <c r="F146" i="13" s="1"/>
  <c r="F148" i="13" l="1"/>
  <c r="E143" i="13"/>
  <c r="F144" i="13" l="1"/>
  <c r="F145" i="13"/>
  <c r="E142" i="13" l="1"/>
  <c r="E141" i="13"/>
  <c r="F141" i="13" s="1"/>
  <c r="E140" i="13"/>
  <c r="AP154" i="13"/>
  <c r="AP147" i="13"/>
  <c r="AP151" i="13" s="1"/>
  <c r="AP146" i="13"/>
  <c r="AP150" i="13" s="1"/>
  <c r="AP145" i="13"/>
  <c r="AP149" i="13" s="1"/>
  <c r="AP153" i="13" s="1"/>
  <c r="AP144" i="13"/>
  <c r="AP148" i="13" s="1"/>
  <c r="AP152" i="13" s="1"/>
  <c r="F143" i="13" l="1"/>
  <c r="F142" i="13"/>
  <c r="E139" i="13"/>
  <c r="F140" i="13" l="1"/>
  <c r="E137" i="13" l="1"/>
  <c r="E136" i="13"/>
  <c r="E135" i="13"/>
  <c r="E134" i="13"/>
  <c r="E133" i="13"/>
  <c r="E132" i="13"/>
  <c r="E131" i="13"/>
  <c r="E130" i="13"/>
  <c r="E129" i="13"/>
  <c r="E128" i="13"/>
  <c r="AP130" i="13"/>
  <c r="BP167" i="13" l="1"/>
  <c r="BP168" i="13" s="1"/>
  <c r="BP169" i="13" s="1"/>
  <c r="BP170" i="13" s="1"/>
  <c r="BP171" i="13" s="1"/>
  <c r="BP172" i="13" s="1"/>
  <c r="BP173" i="13" s="1"/>
  <c r="BP174" i="13" s="1"/>
  <c r="BP175" i="13" s="1"/>
  <c r="BP176" i="13" s="1"/>
  <c r="BP177" i="13" s="1"/>
  <c r="BP178" i="13" s="1"/>
  <c r="BO167" i="13"/>
  <c r="BK155" i="13"/>
  <c r="BP179" i="13"/>
  <c r="BP180" i="13" s="1"/>
  <c r="BP181" i="13" s="1"/>
  <c r="BP182" i="13" s="1"/>
  <c r="BP183" i="13" s="1"/>
  <c r="BP184" i="13" s="1"/>
  <c r="BP185" i="13" s="1"/>
  <c r="BP186" i="13" s="1"/>
  <c r="BP187" i="13" s="1"/>
  <c r="BP188" i="13" s="1"/>
  <c r="BP189" i="13" s="1"/>
  <c r="BP190" i="13" s="1"/>
  <c r="BQ179" i="13"/>
  <c r="BQ180" i="13" s="1"/>
  <c r="BQ181" i="13" s="1"/>
  <c r="BQ182" i="13" s="1"/>
  <c r="BQ183" i="13" s="1"/>
  <c r="BQ184" i="13" s="1"/>
  <c r="BQ185" i="13" s="1"/>
  <c r="BQ186" i="13" s="1"/>
  <c r="BQ187" i="13" s="1"/>
  <c r="BQ188" i="13" s="1"/>
  <c r="BQ189" i="13" s="1"/>
  <c r="BQ190" i="13" s="1"/>
  <c r="BP155" i="13"/>
  <c r="BP156" i="13" s="1"/>
  <c r="BP157" i="13" s="1"/>
  <c r="BP158" i="13" s="1"/>
  <c r="BP159" i="13" s="1"/>
  <c r="BP160" i="13" s="1"/>
  <c r="BP161" i="13" s="1"/>
  <c r="BP162" i="13" s="1"/>
  <c r="BP163" i="13" s="1"/>
  <c r="BP164" i="13" s="1"/>
  <c r="BP165" i="13" s="1"/>
  <c r="BP166" i="13" s="1"/>
  <c r="AJ155" i="13"/>
  <c r="AW180" i="13"/>
  <c r="AW181" i="13" s="1"/>
  <c r="AW182" i="13" s="1"/>
  <c r="AW183" i="13" s="1"/>
  <c r="AW184" i="13" s="1"/>
  <c r="AW185" i="13" s="1"/>
  <c r="AW186" i="13" s="1"/>
  <c r="AW187" i="13" s="1"/>
  <c r="AW188" i="13" s="1"/>
  <c r="AW189" i="13" s="1"/>
  <c r="AW190" i="13" s="1"/>
  <c r="AG167" i="13"/>
  <c r="BK180" i="13"/>
  <c r="BK181" i="13" s="1"/>
  <c r="BK182" i="13" s="1"/>
  <c r="BK183" i="13" s="1"/>
  <c r="BK184" i="13" s="1"/>
  <c r="BK185" i="13" s="1"/>
  <c r="BK186" i="13" s="1"/>
  <c r="BK187" i="13" s="1"/>
  <c r="BK188" i="13" s="1"/>
  <c r="BK189" i="13" s="1"/>
  <c r="BK190" i="13" s="1"/>
  <c r="AZ155" i="13"/>
  <c r="AJ180" i="13"/>
  <c r="AJ181" i="13" s="1"/>
  <c r="AJ182" i="13" s="1"/>
  <c r="AJ183" i="13" s="1"/>
  <c r="AJ184" i="13" s="1"/>
  <c r="AJ185" i="13" s="1"/>
  <c r="AJ186" i="13" s="1"/>
  <c r="AJ187" i="13" s="1"/>
  <c r="AJ188" i="13" s="1"/>
  <c r="AJ189" i="13" s="1"/>
  <c r="AJ190" i="13" s="1"/>
  <c r="AD179" i="13"/>
  <c r="AD180" i="13" s="1"/>
  <c r="AD181" i="13" s="1"/>
  <c r="AD182" i="13" s="1"/>
  <c r="AD183" i="13" s="1"/>
  <c r="AD184" i="13" s="1"/>
  <c r="AD185" i="13" s="1"/>
  <c r="AD186" i="13" s="1"/>
  <c r="AD187" i="13" s="1"/>
  <c r="AD188" i="13" s="1"/>
  <c r="AD189" i="13" s="1"/>
  <c r="AD190" i="13" s="1"/>
  <c r="BM179" i="13"/>
  <c r="BM180" i="13" s="1"/>
  <c r="BM181" i="13" s="1"/>
  <c r="BM182" i="13" s="1"/>
  <c r="BM183" i="13" s="1"/>
  <c r="BM184" i="13" s="1"/>
  <c r="BM185" i="13" s="1"/>
  <c r="BM186" i="13" s="1"/>
  <c r="BM187" i="13" s="1"/>
  <c r="BM188" i="13" s="1"/>
  <c r="BM189" i="13" s="1"/>
  <c r="BM190" i="13" s="1"/>
  <c r="AJ167" i="13"/>
  <c r="BO179" i="13"/>
  <c r="BO180" i="13" s="1"/>
  <c r="BO181" i="13" s="1"/>
  <c r="BO182" i="13" s="1"/>
  <c r="BO183" i="13" s="1"/>
  <c r="BO184" i="13" s="1"/>
  <c r="BO185" i="13" s="1"/>
  <c r="BO186" i="13" s="1"/>
  <c r="BO187" i="13" s="1"/>
  <c r="BO188" i="13" s="1"/>
  <c r="BO189" i="13" s="1"/>
  <c r="BO190" i="13" s="1"/>
  <c r="AZ167" i="13"/>
  <c r="AG155" i="13"/>
  <c r="AZ180" i="13"/>
  <c r="AZ181" i="13" s="1"/>
  <c r="AZ182" i="13" s="1"/>
  <c r="AZ183" i="13" s="1"/>
  <c r="AZ184" i="13" s="1"/>
  <c r="AZ185" i="13" s="1"/>
  <c r="AZ186" i="13" s="1"/>
  <c r="AZ187" i="13" s="1"/>
  <c r="AZ188" i="13" s="1"/>
  <c r="AZ189" i="13" s="1"/>
  <c r="AZ190" i="13" s="1"/>
  <c r="BQ167" i="13"/>
  <c r="BK167" i="13"/>
  <c r="AA180" i="13"/>
  <c r="AA181" i="13" s="1"/>
  <c r="AA182" i="13" s="1"/>
  <c r="AA183" i="13" s="1"/>
  <c r="AA184" i="13" s="1"/>
  <c r="AA185" i="13" s="1"/>
  <c r="AA186" i="13" s="1"/>
  <c r="AA187" i="13" s="1"/>
  <c r="AA188" i="13" s="1"/>
  <c r="AA189" i="13" s="1"/>
  <c r="AA190" i="13" s="1"/>
  <c r="BL179" i="13"/>
  <c r="BL180" i="13" s="1"/>
  <c r="BL181" i="13" s="1"/>
  <c r="BL182" i="13" s="1"/>
  <c r="BL183" i="13" s="1"/>
  <c r="BL184" i="13" s="1"/>
  <c r="BL185" i="13" s="1"/>
  <c r="BL186" i="13" s="1"/>
  <c r="BL187" i="13" s="1"/>
  <c r="BL188" i="13" s="1"/>
  <c r="BL189" i="13" s="1"/>
  <c r="BL190" i="13" s="1"/>
  <c r="AZ143" i="13"/>
  <c r="AA143" i="13"/>
  <c r="BP143" i="13"/>
  <c r="AJ143" i="13"/>
  <c r="AJ144" i="13" s="1"/>
  <c r="AJ145" i="13" s="1"/>
  <c r="AJ146" i="13" s="1"/>
  <c r="AJ147" i="13" s="1"/>
  <c r="AJ148" i="13" s="1"/>
  <c r="AJ149" i="13" s="1"/>
  <c r="AJ150" i="13" s="1"/>
  <c r="AJ151" i="13" s="1"/>
  <c r="AJ152" i="13" s="1"/>
  <c r="AJ153" i="13" s="1"/>
  <c r="AJ154" i="13" s="1"/>
  <c r="AG143" i="13"/>
  <c r="AG144" i="13" s="1"/>
  <c r="AG145" i="13" s="1"/>
  <c r="AW167" i="13"/>
  <c r="AW168" i="13" s="1"/>
  <c r="AW169" i="13" s="1"/>
  <c r="AW170" i="13" s="1"/>
  <c r="AW171" i="13" s="1"/>
  <c r="AW172" i="13" s="1"/>
  <c r="AW173" i="13" s="1"/>
  <c r="AW174" i="13" s="1"/>
  <c r="AW175" i="13" s="1"/>
  <c r="AW176" i="13" s="1"/>
  <c r="AW177" i="13" s="1"/>
  <c r="AW178" i="13" s="1"/>
  <c r="AW155" i="13"/>
  <c r="AW156" i="13" s="1"/>
  <c r="AW157" i="13" s="1"/>
  <c r="AW158" i="13" s="1"/>
  <c r="AW159" i="13" s="1"/>
  <c r="AW160" i="13" s="1"/>
  <c r="AW161" i="13" s="1"/>
  <c r="AW162" i="13" s="1"/>
  <c r="AW163" i="13" s="1"/>
  <c r="AW164" i="13" s="1"/>
  <c r="AW165" i="13" s="1"/>
  <c r="AW166" i="13" s="1"/>
  <c r="BC155" i="13"/>
  <c r="BC156" i="13" s="1"/>
  <c r="BC157" i="13" s="1"/>
  <c r="BC158" i="13" s="1"/>
  <c r="BC159" i="13" s="1"/>
  <c r="BC160" i="13" s="1"/>
  <c r="BC161" i="13" s="1"/>
  <c r="BC162" i="13" s="1"/>
  <c r="BC163" i="13" s="1"/>
  <c r="BC164" i="13" s="1"/>
  <c r="BC165" i="13" s="1"/>
  <c r="BC166" i="13" s="1"/>
  <c r="BC143" i="13"/>
  <c r="BC144" i="13" s="1"/>
  <c r="BC145" i="13" s="1"/>
  <c r="BC146" i="13" s="1"/>
  <c r="BC147" i="13" s="1"/>
  <c r="BC148" i="13" s="1"/>
  <c r="BC149" i="13" s="1"/>
  <c r="BC150" i="13" s="1"/>
  <c r="BC151" i="13" s="1"/>
  <c r="BC152" i="13" s="1"/>
  <c r="BC153" i="13" s="1"/>
  <c r="BC154" i="13" s="1"/>
  <c r="AW143" i="13"/>
  <c r="AW144" i="13" s="1"/>
  <c r="AW145" i="13" s="1"/>
  <c r="AW146" i="13" s="1"/>
  <c r="AW147" i="13" s="1"/>
  <c r="AW148" i="13" s="1"/>
  <c r="AW149" i="13" s="1"/>
  <c r="AW150" i="13" s="1"/>
  <c r="AW151" i="13" s="1"/>
  <c r="AW152" i="13" s="1"/>
  <c r="AW153" i="13" s="1"/>
  <c r="AW154" i="13" s="1"/>
  <c r="AA155" i="13"/>
  <c r="AD143" i="13"/>
  <c r="BC168" i="13"/>
  <c r="BC169" i="13" s="1"/>
  <c r="BC170" i="13" s="1"/>
  <c r="BC171" i="13" s="1"/>
  <c r="BC172" i="13" s="1"/>
  <c r="BC173" i="13" s="1"/>
  <c r="BC174" i="13" s="1"/>
  <c r="BC175" i="13" s="1"/>
  <c r="BC176" i="13" s="1"/>
  <c r="BC177" i="13" s="1"/>
  <c r="BC178" i="13" s="1"/>
  <c r="AD167" i="13"/>
  <c r="AZ156" i="13"/>
  <c r="AZ157" i="13" s="1"/>
  <c r="AZ158" i="13" s="1"/>
  <c r="AZ159" i="13" s="1"/>
  <c r="AZ160" i="13" s="1"/>
  <c r="AZ161" i="13" s="1"/>
  <c r="AZ162" i="13" s="1"/>
  <c r="AJ156" i="13"/>
  <c r="AJ157" i="13" s="1"/>
  <c r="AJ158" i="13" s="1"/>
  <c r="AJ159" i="13" s="1"/>
  <c r="AJ160" i="13" s="1"/>
  <c r="AJ161" i="13" s="1"/>
  <c r="AJ162" i="13" s="1"/>
  <c r="AJ163" i="13" s="1"/>
  <c r="AJ164" i="13" s="1"/>
  <c r="AJ165" i="13" s="1"/>
  <c r="AJ166" i="13" s="1"/>
  <c r="AD155" i="13"/>
  <c r="AG156" i="13"/>
  <c r="BL155" i="13"/>
  <c r="BL156" i="13" s="1"/>
  <c r="BL157" i="13" s="1"/>
  <c r="BL158" i="13" s="1"/>
  <c r="BL159" i="13" s="1"/>
  <c r="BL160" i="13" s="1"/>
  <c r="BL161" i="13" s="1"/>
  <c r="BL162" i="13" s="1"/>
  <c r="BL163" i="13" s="1"/>
  <c r="BL164" i="13" s="1"/>
  <c r="BL165" i="13" s="1"/>
  <c r="BL166" i="13" s="1"/>
  <c r="BK168" i="13"/>
  <c r="BK169" i="13" s="1"/>
  <c r="BK170" i="13" s="1"/>
  <c r="BK171" i="13" s="1"/>
  <c r="BK172" i="13" s="1"/>
  <c r="BK173" i="13" s="1"/>
  <c r="BK174" i="13" s="1"/>
  <c r="BK175" i="13" s="1"/>
  <c r="BK176" i="13" s="1"/>
  <c r="BK177" i="13" s="1"/>
  <c r="BK178" i="13" s="1"/>
  <c r="BM167" i="13"/>
  <c r="BM168" i="13" s="1"/>
  <c r="BM169" i="13" s="1"/>
  <c r="BM170" i="13" s="1"/>
  <c r="BM171" i="13" s="1"/>
  <c r="BM172" i="13" s="1"/>
  <c r="BM173" i="13" s="1"/>
  <c r="BM174" i="13" s="1"/>
  <c r="BM175" i="13" s="1"/>
  <c r="BM176" i="13" s="1"/>
  <c r="BM177" i="13" s="1"/>
  <c r="BM178" i="13" s="1"/>
  <c r="BL167" i="13"/>
  <c r="BM155" i="13"/>
  <c r="BM156" i="13" s="1"/>
  <c r="BM157" i="13" s="1"/>
  <c r="BM158" i="13" s="1"/>
  <c r="BM159" i="13" s="1"/>
  <c r="BM160" i="13" s="1"/>
  <c r="BM161" i="13" s="1"/>
  <c r="BM162" i="13" s="1"/>
  <c r="BM163" i="13" s="1"/>
  <c r="BM164" i="13" s="1"/>
  <c r="BM165" i="13" s="1"/>
  <c r="BM166" i="13" s="1"/>
  <c r="BK156" i="13"/>
  <c r="BK157" i="13" s="1"/>
  <c r="BK158" i="13" s="1"/>
  <c r="BK159" i="13" s="1"/>
  <c r="BK160" i="13" s="1"/>
  <c r="BK161" i="13" s="1"/>
  <c r="BK162" i="13" s="1"/>
  <c r="BK163" i="13" s="1"/>
  <c r="BK164" i="13" s="1"/>
  <c r="BK165" i="13" s="1"/>
  <c r="BK166" i="13" s="1"/>
  <c r="BQ155" i="13"/>
  <c r="BQ156" i="13" s="1"/>
  <c r="BQ157" i="13" s="1"/>
  <c r="BQ158" i="13" s="1"/>
  <c r="BQ159" i="13" s="1"/>
  <c r="BQ160" i="13" s="1"/>
  <c r="BQ161" i="13" s="1"/>
  <c r="BQ162" i="13" s="1"/>
  <c r="BQ163" i="13" s="1"/>
  <c r="BQ164" i="13" s="1"/>
  <c r="BQ165" i="13" s="1"/>
  <c r="BQ166" i="13" s="1"/>
  <c r="BO155" i="13"/>
  <c r="BO156" i="13" s="1"/>
  <c r="BO157" i="13" s="1"/>
  <c r="BO158" i="13" s="1"/>
  <c r="BO159" i="13" s="1"/>
  <c r="BO160" i="13" s="1"/>
  <c r="BO161" i="13" s="1"/>
  <c r="BO162" i="13" s="1"/>
  <c r="BO163" i="13" s="1"/>
  <c r="BO164" i="13" s="1"/>
  <c r="BO165" i="13" s="1"/>
  <c r="BO166" i="13" s="1"/>
  <c r="BO143" i="13"/>
  <c r="BO144" i="13" s="1"/>
  <c r="BO145" i="13" s="1"/>
  <c r="BO146" i="13" s="1"/>
  <c r="BO147" i="13" s="1"/>
  <c r="BO148" i="13" s="1"/>
  <c r="BO149" i="13" s="1"/>
  <c r="BO150" i="13" s="1"/>
  <c r="BO151" i="13" s="1"/>
  <c r="BO152" i="13" s="1"/>
  <c r="BO153" i="13" s="1"/>
  <c r="BO154" i="13" s="1"/>
  <c r="BQ143" i="13"/>
  <c r="BQ144" i="13" s="1"/>
  <c r="BQ145" i="13" s="1"/>
  <c r="BQ146" i="13" s="1"/>
  <c r="BQ147" i="13" s="1"/>
  <c r="BQ148" i="13" s="1"/>
  <c r="BQ149" i="13" s="1"/>
  <c r="BQ150" i="13" s="1"/>
  <c r="BQ151" i="13" s="1"/>
  <c r="BQ152" i="13" s="1"/>
  <c r="BQ153" i="13" s="1"/>
  <c r="BQ154" i="13" s="1"/>
  <c r="BM143" i="13"/>
  <c r="BP144" i="13"/>
  <c r="BP145" i="13" s="1"/>
  <c r="BP146" i="13" s="1"/>
  <c r="BP147" i="13" s="1"/>
  <c r="BP148" i="13" s="1"/>
  <c r="BP149" i="13" s="1"/>
  <c r="BP150" i="13" s="1"/>
  <c r="BP151" i="13" s="1"/>
  <c r="BP152" i="13" s="1"/>
  <c r="BP153" i="13" s="1"/>
  <c r="BP154" i="13" s="1"/>
  <c r="BK143" i="13"/>
  <c r="BK144" i="13" s="1"/>
  <c r="BK145" i="13" s="1"/>
  <c r="BK146" i="13" s="1"/>
  <c r="BK147" i="13" s="1"/>
  <c r="BK148" i="13" s="1"/>
  <c r="BK149" i="13" s="1"/>
  <c r="BK150" i="13" s="1"/>
  <c r="BK151" i="13" s="1"/>
  <c r="BK152" i="13" s="1"/>
  <c r="BK153" i="13" s="1"/>
  <c r="BK154" i="13" s="1"/>
  <c r="BL143" i="13"/>
  <c r="F138" i="13"/>
  <c r="E138" i="13"/>
  <c r="F139" i="13" s="1"/>
  <c r="F134" i="13"/>
  <c r="F137" i="13"/>
  <c r="AG180" i="13" l="1"/>
  <c r="AG181" i="13" s="1"/>
  <c r="AG182" i="13" s="1"/>
  <c r="AG183" i="13" s="1"/>
  <c r="AG184" i="13" s="1"/>
  <c r="AG185" i="13" s="1"/>
  <c r="AG186" i="13" s="1"/>
  <c r="AG187" i="13" s="1"/>
  <c r="AG188" i="13" s="1"/>
  <c r="AG189" i="13" s="1"/>
  <c r="AG190" i="13" s="1"/>
  <c r="AG178" i="13"/>
  <c r="AJ176" i="13"/>
  <c r="AJ172" i="13"/>
  <c r="AJ168" i="13"/>
  <c r="AJ178" i="13"/>
  <c r="AJ170" i="13"/>
  <c r="AJ177" i="13"/>
  <c r="AJ169" i="13"/>
  <c r="AJ175" i="13"/>
  <c r="AJ171" i="13"/>
  <c r="AJ173" i="13"/>
  <c r="AJ174" i="13"/>
  <c r="AG175" i="13"/>
  <c r="AG171" i="13"/>
  <c r="AG173" i="13"/>
  <c r="AG172" i="13"/>
  <c r="AG174" i="13"/>
  <c r="AG170" i="13"/>
  <c r="AG177" i="13"/>
  <c r="AG168" i="13"/>
  <c r="AG169" i="13"/>
  <c r="AG176" i="13"/>
  <c r="AA166" i="13"/>
  <c r="AA162" i="13"/>
  <c r="AA158" i="13"/>
  <c r="AA157" i="13"/>
  <c r="AA164" i="13"/>
  <c r="AA156" i="13"/>
  <c r="AA159" i="13"/>
  <c r="AA165" i="13"/>
  <c r="AA161" i="13"/>
  <c r="AA160" i="13"/>
  <c r="AA163" i="13"/>
  <c r="AA176" i="13"/>
  <c r="AA172" i="13"/>
  <c r="AA168" i="13"/>
  <c r="AA178" i="13"/>
  <c r="AA170" i="13"/>
  <c r="AA173" i="13"/>
  <c r="AA175" i="13"/>
  <c r="AA171" i="13"/>
  <c r="AA174" i="13"/>
  <c r="AA169" i="13"/>
  <c r="AA177" i="13"/>
  <c r="AA151" i="13"/>
  <c r="AA147" i="13"/>
  <c r="AA154" i="13"/>
  <c r="AA150" i="13"/>
  <c r="AA153" i="13"/>
  <c r="AA145" i="13"/>
  <c r="AA152" i="13"/>
  <c r="AA146" i="13"/>
  <c r="AA149" i="13"/>
  <c r="AA144" i="13"/>
  <c r="AA148" i="13"/>
  <c r="AD166" i="13"/>
  <c r="AD162" i="13"/>
  <c r="AD158" i="13"/>
  <c r="AD164" i="13"/>
  <c r="AD160" i="13"/>
  <c r="AD165" i="13"/>
  <c r="AD161" i="13"/>
  <c r="AD157" i="13"/>
  <c r="AD156" i="13"/>
  <c r="AD163" i="13"/>
  <c r="AD159" i="13"/>
  <c r="AD176" i="13"/>
  <c r="AD172" i="13"/>
  <c r="AD168" i="13"/>
  <c r="AD178" i="13"/>
  <c r="AD174" i="13"/>
  <c r="AD173" i="13"/>
  <c r="AD175" i="13"/>
  <c r="AD171" i="13"/>
  <c r="AD169" i="13"/>
  <c r="AD170" i="13"/>
  <c r="AD177" i="13"/>
  <c r="AD151" i="13"/>
  <c r="AD147" i="13"/>
  <c r="AD154" i="13"/>
  <c r="AD146" i="13"/>
  <c r="AD149" i="13"/>
  <c r="AD148" i="13"/>
  <c r="AD150" i="13"/>
  <c r="AD153" i="13"/>
  <c r="AD145" i="13"/>
  <c r="AD152" i="13"/>
  <c r="AD144" i="13"/>
  <c r="AZ163" i="13"/>
  <c r="AZ168" i="13"/>
  <c r="BL168" i="13"/>
  <c r="BL169" i="13" s="1"/>
  <c r="BL170" i="13" s="1"/>
  <c r="BL171" i="13" s="1"/>
  <c r="BL172" i="13" s="1"/>
  <c r="BL173" i="13" s="1"/>
  <c r="BL174" i="13" s="1"/>
  <c r="BL175" i="13" s="1"/>
  <c r="BL176" i="13" s="1"/>
  <c r="BL177" i="13" s="1"/>
  <c r="BL178" i="13" s="1"/>
  <c r="BQ168" i="13"/>
  <c r="BQ169" i="13" s="1"/>
  <c r="BQ170" i="13" s="1"/>
  <c r="BQ171" i="13" s="1"/>
  <c r="BQ172" i="13" s="1"/>
  <c r="BQ173" i="13" s="1"/>
  <c r="BQ174" i="13" s="1"/>
  <c r="BQ175" i="13" s="1"/>
  <c r="BQ176" i="13" s="1"/>
  <c r="BQ177" i="13" s="1"/>
  <c r="BQ178" i="13" s="1"/>
  <c r="BO168" i="13"/>
  <c r="BO169" i="13" s="1"/>
  <c r="BO170" i="13" s="1"/>
  <c r="BO171" i="13" s="1"/>
  <c r="BO172" i="13" s="1"/>
  <c r="BO173" i="13" s="1"/>
  <c r="BO174" i="13" s="1"/>
  <c r="BO175" i="13" s="1"/>
  <c r="BO176" i="13" s="1"/>
  <c r="BO177" i="13" s="1"/>
  <c r="BO178" i="13" s="1"/>
  <c r="AG157" i="13"/>
  <c r="AG158" i="13" s="1"/>
  <c r="AG159" i="13" s="1"/>
  <c r="AG160" i="13" s="1"/>
  <c r="F136" i="13"/>
  <c r="AZ169" i="13" l="1"/>
  <c r="AZ164" i="13"/>
  <c r="AG161" i="13"/>
  <c r="AP138" i="13"/>
  <c r="AP137" i="13"/>
  <c r="AZ165" i="13" l="1"/>
  <c r="AZ170" i="13"/>
  <c r="AG162" i="13"/>
  <c r="F135" i="13"/>
  <c r="F132" i="13"/>
  <c r="F131" i="13"/>
  <c r="F129" i="13"/>
  <c r="F130" i="13"/>
  <c r="F133" i="13"/>
  <c r="BQ132" i="13"/>
  <c r="BQ133" i="13" s="1"/>
  <c r="BQ134" i="13" s="1"/>
  <c r="BQ135" i="13" s="1"/>
  <c r="BQ136" i="13" s="1"/>
  <c r="BQ137" i="13" s="1"/>
  <c r="BP132" i="13"/>
  <c r="BP133" i="13" s="1"/>
  <c r="BP134" i="13" s="1"/>
  <c r="BP135" i="13" s="1"/>
  <c r="BP136" i="13" s="1"/>
  <c r="BP137" i="13" s="1"/>
  <c r="BO132" i="13"/>
  <c r="BO133" i="13" s="1"/>
  <c r="BO134" i="13" s="1"/>
  <c r="BO135" i="13" s="1"/>
  <c r="BO136" i="13" s="1"/>
  <c r="BO137" i="13" s="1"/>
  <c r="BL132" i="13"/>
  <c r="BL133" i="13" s="1"/>
  <c r="BL134" i="13" s="1"/>
  <c r="BL135" i="13" s="1"/>
  <c r="BL136" i="13" s="1"/>
  <c r="BL137" i="13" s="1"/>
  <c r="BM132" i="13"/>
  <c r="BM133" i="13" s="1"/>
  <c r="BM134" i="13" s="1"/>
  <c r="BM135" i="13" s="1"/>
  <c r="BM136" i="13" s="1"/>
  <c r="BM137" i="13" s="1"/>
  <c r="AP131" i="13"/>
  <c r="AZ171" i="13" l="1"/>
  <c r="AZ166" i="13"/>
  <c r="AG163" i="13"/>
  <c r="BO139" i="13"/>
  <c r="BO140" i="13" s="1"/>
  <c r="BO141" i="13" s="1"/>
  <c r="BO142" i="13" s="1"/>
  <c r="BO138" i="13"/>
  <c r="BM139" i="13"/>
  <c r="BM140" i="13" s="1"/>
  <c r="BM141" i="13" s="1"/>
  <c r="BM142" i="13" s="1"/>
  <c r="BM138" i="13"/>
  <c r="BL139" i="13"/>
  <c r="BL140" i="13" s="1"/>
  <c r="BL141" i="13" s="1"/>
  <c r="BL142" i="13" s="1"/>
  <c r="BL138" i="13"/>
  <c r="BQ139" i="13"/>
  <c r="BQ140" i="13" s="1"/>
  <c r="BQ141" i="13" s="1"/>
  <c r="BQ142" i="13" s="1"/>
  <c r="BQ138" i="13"/>
  <c r="BP139" i="13"/>
  <c r="BP140" i="13" s="1"/>
  <c r="BP141" i="13" s="1"/>
  <c r="BP142" i="13" s="1"/>
  <c r="BP138" i="13"/>
  <c r="I20" i="13"/>
  <c r="AZ172" i="13" l="1"/>
  <c r="AG164" i="13"/>
  <c r="AP142" i="13"/>
  <c r="AP141" i="13"/>
  <c r="AP140" i="13"/>
  <c r="AP139" i="13"/>
  <c r="AP136" i="13"/>
  <c r="AP135" i="13"/>
  <c r="AP134" i="13"/>
  <c r="AP133" i="13"/>
  <c r="AP132" i="13"/>
  <c r="E127" i="13"/>
  <c r="E126" i="13"/>
  <c r="AZ173" i="13" l="1"/>
  <c r="AG165" i="13"/>
  <c r="F127" i="13"/>
  <c r="F128" i="13"/>
  <c r="AZ174" i="13" l="1"/>
  <c r="AG166" i="13"/>
  <c r="E123" i="13"/>
  <c r="E124" i="13"/>
  <c r="E125" i="13"/>
  <c r="AZ175" i="13" l="1"/>
  <c r="F124" i="13"/>
  <c r="F125" i="13"/>
  <c r="F126" i="13"/>
  <c r="E121" i="13"/>
  <c r="E122" i="13"/>
  <c r="F123" i="13" s="1"/>
  <c r="E120" i="13"/>
  <c r="AZ176" i="13" l="1"/>
  <c r="F121" i="13"/>
  <c r="F122" i="13"/>
  <c r="E117" i="13"/>
  <c r="E118" i="13"/>
  <c r="E119" i="13"/>
  <c r="F120" i="13" s="1"/>
  <c r="AP128" i="13"/>
  <c r="AP127" i="13"/>
  <c r="AP126" i="13"/>
  <c r="AP125" i="13"/>
  <c r="AP124" i="13"/>
  <c r="AP123" i="13"/>
  <c r="AP122" i="13"/>
  <c r="AP121" i="13"/>
  <c r="AP120" i="13"/>
  <c r="AP119" i="13"/>
  <c r="AP118" i="13"/>
  <c r="E114" i="13"/>
  <c r="E115" i="13"/>
  <c r="E116" i="13"/>
  <c r="E111" i="13"/>
  <c r="E112" i="13"/>
  <c r="E113" i="13"/>
  <c r="E106" i="13"/>
  <c r="E107" i="13"/>
  <c r="E108" i="13"/>
  <c r="E109" i="13"/>
  <c r="E110" i="13"/>
  <c r="E105" i="13"/>
  <c r="E104" i="13"/>
  <c r="BM83" i="13"/>
  <c r="BM84" i="13" s="1"/>
  <c r="BM85" i="13" s="1"/>
  <c r="BM86" i="13" s="1"/>
  <c r="BM87" i="13" s="1"/>
  <c r="BM88" i="13" s="1"/>
  <c r="BM89" i="13" s="1"/>
  <c r="BM90" i="13" s="1"/>
  <c r="BM91" i="13" s="1"/>
  <c r="BM92" i="13" s="1"/>
  <c r="AP116" i="13"/>
  <c r="E103" i="13"/>
  <c r="AP106" i="13"/>
  <c r="AP108" i="13"/>
  <c r="AP110" i="13"/>
  <c r="AP112" i="13"/>
  <c r="AP114" i="13"/>
  <c r="E102" i="13"/>
  <c r="E80" i="13"/>
  <c r="E101" i="13"/>
  <c r="E93" i="13"/>
  <c r="E100" i="13"/>
  <c r="E99" i="13"/>
  <c r="E98" i="13"/>
  <c r="E97" i="13"/>
  <c r="E96" i="13"/>
  <c r="E95" i="13"/>
  <c r="E94" i="13"/>
  <c r="E92" i="13"/>
  <c r="E91" i="13"/>
  <c r="E85" i="13"/>
  <c r="E84" i="13"/>
  <c r="E83" i="13"/>
  <c r="E82" i="13"/>
  <c r="E81" i="13"/>
  <c r="E90" i="13"/>
  <c r="E89" i="13"/>
  <c r="E87" i="13"/>
  <c r="E88" i="13"/>
  <c r="E86" i="13"/>
  <c r="E79" i="13"/>
  <c r="E78" i="13"/>
  <c r="E77" i="13"/>
  <c r="E76" i="13"/>
  <c r="E75" i="13"/>
  <c r="E74" i="13"/>
  <c r="E73" i="13"/>
  <c r="E72" i="13"/>
  <c r="E71" i="13"/>
  <c r="E70" i="13"/>
  <c r="AP80" i="13"/>
  <c r="AP79" i="13"/>
  <c r="AP78" i="13"/>
  <c r="AP77" i="13"/>
  <c r="AP76" i="13"/>
  <c r="AP75" i="13"/>
  <c r="AP74" i="13"/>
  <c r="AP73" i="13"/>
  <c r="E69" i="13"/>
  <c r="E68" i="13"/>
  <c r="E67" i="13"/>
  <c r="E66" i="13"/>
  <c r="E65" i="13"/>
  <c r="E64" i="13"/>
  <c r="E63" i="13"/>
  <c r="E62" i="13"/>
  <c r="E61" i="13"/>
  <c r="E60" i="13"/>
  <c r="E59" i="13"/>
  <c r="E58" i="13"/>
  <c r="E57" i="13"/>
  <c r="BM144" i="13" s="1"/>
  <c r="BM145" i="13" s="1"/>
  <c r="BM146" i="13" s="1"/>
  <c r="BM147" i="13" s="1"/>
  <c r="BM148" i="13" s="1"/>
  <c r="BM149" i="13" s="1"/>
  <c r="BM150" i="13" s="1"/>
  <c r="BM151" i="13" s="1"/>
  <c r="BM152" i="13" s="1"/>
  <c r="BM153" i="13" s="1"/>
  <c r="BM154" i="13" s="1"/>
  <c r="E56" i="13"/>
  <c r="E55" i="13"/>
  <c r="E54" i="13"/>
  <c r="E53" i="13"/>
  <c r="E52" i="13"/>
  <c r="E51" i="13"/>
  <c r="E50" i="13"/>
  <c r="E49" i="13"/>
  <c r="E48" i="13"/>
  <c r="E47" i="13"/>
  <c r="E46" i="13"/>
  <c r="E45" i="13"/>
  <c r="D8" i="13"/>
  <c r="D9" i="13"/>
  <c r="D10" i="13"/>
  <c r="D11" i="13"/>
  <c r="D12" i="13"/>
  <c r="D13" i="13"/>
  <c r="D14" i="13"/>
  <c r="D15" i="13"/>
  <c r="D16" i="13"/>
  <c r="D17" i="13"/>
  <c r="D18" i="13"/>
  <c r="D19" i="13"/>
  <c r="E31" i="13" s="1"/>
  <c r="E92" i="1"/>
  <c r="E14" i="13" s="1"/>
  <c r="I155" i="13" s="1"/>
  <c r="I156" i="13" s="1"/>
  <c r="E44" i="13"/>
  <c r="E43" i="13"/>
  <c r="E33" i="13"/>
  <c r="E32" i="13"/>
  <c r="E42" i="13"/>
  <c r="E41" i="13"/>
  <c r="E40" i="13"/>
  <c r="E36" i="13"/>
  <c r="E37" i="13"/>
  <c r="E38" i="13"/>
  <c r="E39" i="13"/>
  <c r="E35" i="13"/>
  <c r="E34" i="13"/>
  <c r="AP20" i="13"/>
  <c r="I21" i="13"/>
  <c r="I22" i="13" s="1"/>
  <c r="I23" i="13" s="1"/>
  <c r="I24" i="13" s="1"/>
  <c r="I25" i="13" s="1"/>
  <c r="I26" i="13" s="1"/>
  <c r="I27" i="13" s="1"/>
  <c r="I28" i="13" s="1"/>
  <c r="I29" i="13" s="1"/>
  <c r="I30" i="13" s="1"/>
  <c r="I31" i="13" s="1"/>
  <c r="I32" i="13" s="1"/>
  <c r="AL18" i="13"/>
  <c r="AJ20" i="13"/>
  <c r="AJ21" i="13" s="1"/>
  <c r="AJ22" i="13" s="1"/>
  <c r="AJ23" i="13" s="1"/>
  <c r="AJ24" i="13" s="1"/>
  <c r="AJ25" i="13" s="1"/>
  <c r="AJ26" i="13" s="1"/>
  <c r="AJ27" i="13" s="1"/>
  <c r="AJ28" i="13" s="1"/>
  <c r="AJ29" i="13" s="1"/>
  <c r="AJ30" i="13" s="1"/>
  <c r="AJ31" i="13" s="1"/>
  <c r="AJ32" i="13" s="1"/>
  <c r="AG20" i="13"/>
  <c r="R20" i="13"/>
  <c r="R21" i="13" s="1"/>
  <c r="R22" i="13" s="1"/>
  <c r="R23" i="13" s="1"/>
  <c r="R24" i="13" s="1"/>
  <c r="R25" i="13" s="1"/>
  <c r="R26" i="13" s="1"/>
  <c r="R27" i="13" s="1"/>
  <c r="R28" i="13" s="1"/>
  <c r="R29" i="13" s="1"/>
  <c r="R30" i="13" s="1"/>
  <c r="R31" i="13" s="1"/>
  <c r="R32" i="13" s="1"/>
  <c r="O20" i="13"/>
  <c r="O21" i="13" s="1"/>
  <c r="O22" i="13" s="1"/>
  <c r="O23" i="13" s="1"/>
  <c r="O24" i="13" s="1"/>
  <c r="O25" i="13" s="1"/>
  <c r="O26" i="13" s="1"/>
  <c r="O27" i="13" s="1"/>
  <c r="O28" i="13" s="1"/>
  <c r="O29" i="13" s="1"/>
  <c r="O30" i="13" s="1"/>
  <c r="O31" i="13" s="1"/>
  <c r="O32" i="13" s="1"/>
  <c r="L20" i="13"/>
  <c r="L21" i="13" s="1"/>
  <c r="L22" i="13" s="1"/>
  <c r="L23" i="13" s="1"/>
  <c r="L24" i="13" s="1"/>
  <c r="L25" i="13" s="1"/>
  <c r="L26" i="13" s="1"/>
  <c r="L27" i="13" s="1"/>
  <c r="L28" i="13" s="1"/>
  <c r="L29" i="13" s="1"/>
  <c r="L30" i="13" s="1"/>
  <c r="L31" i="13" s="1"/>
  <c r="L32" i="13" s="1"/>
  <c r="E27" i="1"/>
  <c r="AG30" i="1"/>
  <c r="E38" i="1"/>
  <c r="E94" i="1"/>
  <c r="E93" i="1"/>
  <c r="E15" i="13" s="1"/>
  <c r="E35" i="1"/>
  <c r="E90" i="1"/>
  <c r="E12" i="13" s="1"/>
  <c r="E39" i="1"/>
  <c r="E45" i="1"/>
  <c r="E49" i="1"/>
  <c r="E21" i="1"/>
  <c r="E20" i="1"/>
  <c r="E63" i="1"/>
  <c r="E62" i="1"/>
  <c r="E30" i="1"/>
  <c r="E55" i="1"/>
  <c r="E77" i="1"/>
  <c r="E40" i="1"/>
  <c r="E44" i="1"/>
  <c r="E22" i="1"/>
  <c r="E64" i="1"/>
  <c r="F64" i="1" s="1"/>
  <c r="E66" i="1"/>
  <c r="E70" i="1"/>
  <c r="E37" i="1"/>
  <c r="E36" i="1"/>
  <c r="E58" i="1"/>
  <c r="E79" i="1"/>
  <c r="E84" i="1"/>
  <c r="E91" i="1"/>
  <c r="E13" i="13" s="1"/>
  <c r="E56" i="1"/>
  <c r="E81" i="1"/>
  <c r="E23" i="1"/>
  <c r="F23" i="1" s="1"/>
  <c r="E61" i="1"/>
  <c r="E60" i="1"/>
  <c r="E87" i="1"/>
  <c r="E9" i="13" s="1"/>
  <c r="E86" i="1"/>
  <c r="E8" i="13" s="1"/>
  <c r="E50" i="1"/>
  <c r="E51" i="1"/>
  <c r="F52" i="1" s="1"/>
  <c r="E52" i="1"/>
  <c r="E53" i="1"/>
  <c r="F53" i="1" s="1"/>
  <c r="E57" i="1"/>
  <c r="E71" i="1"/>
  <c r="E67" i="1"/>
  <c r="E76" i="1"/>
  <c r="E48" i="1"/>
  <c r="F49" i="1" s="1"/>
  <c r="E46" i="1"/>
  <c r="E42" i="1"/>
  <c r="E82" i="1"/>
  <c r="E31" i="1"/>
  <c r="F31" i="1" s="1"/>
  <c r="E28" i="1"/>
  <c r="F28" i="1" s="1"/>
  <c r="E26" i="1"/>
  <c r="E25" i="1"/>
  <c r="E24" i="1"/>
  <c r="E78" i="1"/>
  <c r="E34" i="1"/>
  <c r="E74" i="1"/>
  <c r="F75" i="1" s="1"/>
  <c r="E75" i="1"/>
  <c r="E59" i="1"/>
  <c r="F59" i="1" s="1"/>
  <c r="E32" i="1"/>
  <c r="E33" i="1"/>
  <c r="E89" i="1"/>
  <c r="E11" i="13" s="1"/>
  <c r="E88" i="1"/>
  <c r="E10" i="13" s="1"/>
  <c r="E80" i="1"/>
  <c r="E85" i="1"/>
  <c r="E72" i="1"/>
  <c r="F72" i="1" s="1"/>
  <c r="E68" i="1"/>
  <c r="E29" i="1"/>
  <c r="F29" i="1" s="1"/>
  <c r="E83" i="1"/>
  <c r="E73" i="1"/>
  <c r="E69" i="1"/>
  <c r="E65" i="1"/>
  <c r="E47" i="1"/>
  <c r="E43" i="1"/>
  <c r="E41" i="1"/>
  <c r="F41" i="1"/>
  <c r="E54" i="1"/>
  <c r="F54" i="1" s="1"/>
  <c r="E95" i="1"/>
  <c r="E17" i="13" s="1"/>
  <c r="E96" i="1"/>
  <c r="E18" i="13" s="1"/>
  <c r="E97" i="1"/>
  <c r="E19" i="13" s="1"/>
  <c r="F93" i="1"/>
  <c r="F15" i="13" s="1"/>
  <c r="AP115" i="13"/>
  <c r="AP113" i="13"/>
  <c r="AP111" i="13"/>
  <c r="AP109" i="13"/>
  <c r="AP107" i="13"/>
  <c r="E16" i="13"/>
  <c r="F94" i="1"/>
  <c r="F16" i="13" s="1"/>
  <c r="F24" i="1"/>
  <c r="F42" i="1"/>
  <c r="F67" i="1" l="1"/>
  <c r="F62" i="1"/>
  <c r="F47" i="1"/>
  <c r="F66" i="1"/>
  <c r="AZ105" i="13"/>
  <c r="AW117" i="13" s="1"/>
  <c r="AW118" i="13" s="1"/>
  <c r="AG105" i="13"/>
  <c r="AJ105" i="13"/>
  <c r="AD117" i="13" s="1"/>
  <c r="E24" i="13"/>
  <c r="AZ81" i="13"/>
  <c r="AG81" i="13"/>
  <c r="AG82" i="13" s="1"/>
  <c r="AJ81" i="13"/>
  <c r="AZ117" i="13"/>
  <c r="AJ117" i="13"/>
  <c r="AJ118" i="13" s="1"/>
  <c r="AJ119" i="13" s="1"/>
  <c r="AJ120" i="13" s="1"/>
  <c r="AJ121" i="13" s="1"/>
  <c r="AJ122" i="13" s="1"/>
  <c r="AJ123" i="13" s="1"/>
  <c r="AJ124" i="13" s="1"/>
  <c r="AJ125" i="13" s="1"/>
  <c r="AJ126" i="13" s="1"/>
  <c r="AJ127" i="13" s="1"/>
  <c r="AJ128" i="13" s="1"/>
  <c r="AG117" i="13"/>
  <c r="AD129" i="13"/>
  <c r="AG129" i="13"/>
  <c r="AZ129" i="13"/>
  <c r="AJ129" i="13"/>
  <c r="AJ130" i="13" s="1"/>
  <c r="I143" i="13"/>
  <c r="I129" i="13"/>
  <c r="I130" i="13" s="1"/>
  <c r="I131" i="13" s="1"/>
  <c r="I132" i="13" s="1"/>
  <c r="I133" i="13" s="1"/>
  <c r="I134" i="13" s="1"/>
  <c r="I135" i="13" s="1"/>
  <c r="I136" i="13" s="1"/>
  <c r="AG33" i="13"/>
  <c r="AG34" i="13" s="1"/>
  <c r="AG35" i="13" s="1"/>
  <c r="AG36" i="13" s="1"/>
  <c r="AG37" i="13" s="1"/>
  <c r="AG38" i="13" s="1"/>
  <c r="AG39" i="13" s="1"/>
  <c r="AG40" i="13" s="1"/>
  <c r="AG41" i="13" s="1"/>
  <c r="AG42" i="13" s="1"/>
  <c r="AG43" i="13" s="1"/>
  <c r="AG44" i="13" s="1"/>
  <c r="AJ33" i="13"/>
  <c r="AJ34" i="13" s="1"/>
  <c r="I33" i="13"/>
  <c r="AG21" i="13"/>
  <c r="AG22" i="13" s="1"/>
  <c r="AG23" i="13" s="1"/>
  <c r="AG24" i="13" s="1"/>
  <c r="AG25" i="13" s="1"/>
  <c r="AG26" i="13" s="1"/>
  <c r="AG27" i="13" s="1"/>
  <c r="AG28" i="13" s="1"/>
  <c r="AG29" i="13" s="1"/>
  <c r="AG30" i="13" s="1"/>
  <c r="AG31" i="13" s="1"/>
  <c r="AG32" i="13" s="1"/>
  <c r="I81" i="13"/>
  <c r="AW104" i="13"/>
  <c r="I117" i="13"/>
  <c r="I118" i="13" s="1"/>
  <c r="I119" i="13" s="1"/>
  <c r="I120" i="13" s="1"/>
  <c r="I121" i="13" s="1"/>
  <c r="I122" i="13" s="1"/>
  <c r="I123" i="13" s="1"/>
  <c r="I124" i="13" s="1"/>
  <c r="I125" i="13" s="1"/>
  <c r="I126" i="13" s="1"/>
  <c r="I127" i="13" s="1"/>
  <c r="I128" i="13" s="1"/>
  <c r="I45" i="13"/>
  <c r="I46" i="13" s="1"/>
  <c r="I47" i="13" s="1"/>
  <c r="I48" i="13" s="1"/>
  <c r="I49" i="13" s="1"/>
  <c r="I50" i="13" s="1"/>
  <c r="I51" i="13" s="1"/>
  <c r="I52" i="13" s="1"/>
  <c r="I53" i="13" s="1"/>
  <c r="I54" i="13" s="1"/>
  <c r="I55" i="13" s="1"/>
  <c r="I56" i="13" s="1"/>
  <c r="AJ82" i="13"/>
  <c r="AJ57" i="13"/>
  <c r="AG57" i="13"/>
  <c r="I57" i="13"/>
  <c r="I69" i="13"/>
  <c r="AG69" i="13"/>
  <c r="I93" i="13"/>
  <c r="AZ130" i="13"/>
  <c r="I105" i="13"/>
  <c r="I106" i="13" s="1"/>
  <c r="I107" i="13" s="1"/>
  <c r="I108" i="13" s="1"/>
  <c r="I109" i="13" s="1"/>
  <c r="I110" i="13" s="1"/>
  <c r="I111" i="13" s="1"/>
  <c r="I112" i="13" s="1"/>
  <c r="I113" i="13" s="1"/>
  <c r="I114" i="13" s="1"/>
  <c r="I115" i="13" s="1"/>
  <c r="I116" i="13" s="1"/>
  <c r="AZ82" i="13"/>
  <c r="AZ83" i="13" s="1"/>
  <c r="AZ84" i="13" s="1"/>
  <c r="AZ85" i="13" s="1"/>
  <c r="AZ86" i="13" s="1"/>
  <c r="AZ87" i="13" s="1"/>
  <c r="AZ88" i="13" s="1"/>
  <c r="AZ89" i="13" s="1"/>
  <c r="AZ90" i="13" s="1"/>
  <c r="AZ91" i="13" s="1"/>
  <c r="AZ92" i="13" s="1"/>
  <c r="AG70" i="13"/>
  <c r="AG71" i="13" s="1"/>
  <c r="AD130" i="13"/>
  <c r="AA117" i="13"/>
  <c r="F107" i="13"/>
  <c r="F98" i="13"/>
  <c r="AZ177" i="13"/>
  <c r="AZ178" i="13" s="1"/>
  <c r="F33" i="1"/>
  <c r="O63" i="1"/>
  <c r="F112" i="13"/>
  <c r="F36" i="1"/>
  <c r="F80" i="1"/>
  <c r="L155" i="13"/>
  <c r="I157" i="13"/>
  <c r="I158" i="13" s="1"/>
  <c r="I159" i="13" s="1"/>
  <c r="I160" i="13" s="1"/>
  <c r="I161" i="13" s="1"/>
  <c r="F69" i="1"/>
  <c r="AQ155" i="13"/>
  <c r="AQ156" i="13" s="1"/>
  <c r="AQ157" i="13" s="1"/>
  <c r="AQ158" i="13" s="1"/>
  <c r="AQ159" i="13" s="1"/>
  <c r="AQ160" i="13" s="1"/>
  <c r="AQ161" i="13" s="1"/>
  <c r="F84" i="1"/>
  <c r="AG116" i="13"/>
  <c r="AA63" i="1"/>
  <c r="F74" i="1"/>
  <c r="X51" i="1"/>
  <c r="F77" i="1"/>
  <c r="I34" i="13"/>
  <c r="I35" i="13" s="1"/>
  <c r="I36" i="13" s="1"/>
  <c r="I37" i="13" s="1"/>
  <c r="I38" i="13" s="1"/>
  <c r="I39" i="13" s="1"/>
  <c r="I40" i="13" s="1"/>
  <c r="I41" i="13" s="1"/>
  <c r="I42" i="13" s="1"/>
  <c r="I43" i="13" s="1"/>
  <c r="I44" i="13" s="1"/>
  <c r="F65" i="1"/>
  <c r="F83" i="1"/>
  <c r="F55" i="1"/>
  <c r="F32" i="1"/>
  <c r="F34" i="1"/>
  <c r="O27" i="1"/>
  <c r="F91" i="1"/>
  <c r="F13" i="13" s="1"/>
  <c r="F25" i="1"/>
  <c r="F76" i="1"/>
  <c r="L51" i="1"/>
  <c r="F68" i="1"/>
  <c r="F88" i="1"/>
  <c r="F10" i="13" s="1"/>
  <c r="F46" i="1"/>
  <c r="F62" i="13"/>
  <c r="F95" i="13"/>
  <c r="F111" i="13"/>
  <c r="F106" i="13"/>
  <c r="F102" i="13"/>
  <c r="U27" i="1"/>
  <c r="I51" i="1"/>
  <c r="F89" i="1"/>
  <c r="F11" i="13" s="1"/>
  <c r="F43" i="1"/>
  <c r="F81" i="1"/>
  <c r="F51" i="1"/>
  <c r="F37" i="1"/>
  <c r="F92" i="1"/>
  <c r="F14" i="13" s="1"/>
  <c r="F78" i="1"/>
  <c r="F117" i="13"/>
  <c r="F26" i="1"/>
  <c r="U63" i="1"/>
  <c r="X27" i="1"/>
  <c r="F79" i="1"/>
  <c r="F70" i="1"/>
  <c r="F22" i="1"/>
  <c r="O155" i="13"/>
  <c r="O156" i="13" s="1"/>
  <c r="O157" i="13" s="1"/>
  <c r="O158" i="13" s="1"/>
  <c r="O159" i="13" s="1"/>
  <c r="O160" i="13" s="1"/>
  <c r="O161" i="13" s="1"/>
  <c r="R155" i="13"/>
  <c r="R156" i="13" s="1"/>
  <c r="R157" i="13" s="1"/>
  <c r="R158" i="13" s="1"/>
  <c r="R159" i="13" s="1"/>
  <c r="R160" i="13" s="1"/>
  <c r="R161" i="13" s="1"/>
  <c r="F90" i="1"/>
  <c r="F12" i="13" s="1"/>
  <c r="F50" i="1"/>
  <c r="F86" i="1"/>
  <c r="F8" i="13" s="1"/>
  <c r="F85" i="1"/>
  <c r="F48" i="1"/>
  <c r="F40" i="13"/>
  <c r="F47" i="13"/>
  <c r="F51" i="13"/>
  <c r="F55" i="13"/>
  <c r="F110" i="13"/>
  <c r="F113" i="13"/>
  <c r="AQ143" i="13"/>
  <c r="AQ144" i="13" s="1"/>
  <c r="AQ145" i="13" s="1"/>
  <c r="AQ146" i="13" s="1"/>
  <c r="AQ147" i="13" s="1"/>
  <c r="AQ148" i="13" s="1"/>
  <c r="AQ149" i="13" s="1"/>
  <c r="AQ150" i="13" s="1"/>
  <c r="AQ151" i="13" s="1"/>
  <c r="AQ152" i="13" s="1"/>
  <c r="AQ153" i="13" s="1"/>
  <c r="AQ154" i="13" s="1"/>
  <c r="I144" i="13"/>
  <c r="I145" i="13" s="1"/>
  <c r="I146" i="13" s="1"/>
  <c r="I147" i="13" s="1"/>
  <c r="I148" i="13" s="1"/>
  <c r="I149" i="13" s="1"/>
  <c r="I150" i="13" s="1"/>
  <c r="I151" i="13" s="1"/>
  <c r="I152" i="13" s="1"/>
  <c r="I153" i="13" s="1"/>
  <c r="F43" i="13"/>
  <c r="F54" i="13"/>
  <c r="F74" i="13"/>
  <c r="F82" i="13"/>
  <c r="F99" i="13"/>
  <c r="AD63" i="1"/>
  <c r="X39" i="1"/>
  <c r="F35" i="1"/>
  <c r="F96" i="1"/>
  <c r="AF97" i="1" s="1"/>
  <c r="AD27" i="1"/>
  <c r="F82" i="1"/>
  <c r="F30" i="1"/>
  <c r="AG31" i="1" s="1"/>
  <c r="AG32" i="1" s="1"/>
  <c r="F27" i="1"/>
  <c r="I27" i="1"/>
  <c r="O51" i="1"/>
  <c r="AD51" i="1"/>
  <c r="F21" i="1"/>
  <c r="AA27" i="1"/>
  <c r="AA28" i="1" s="1"/>
  <c r="AA29" i="1" s="1"/>
  <c r="AA30" i="1" s="1"/>
  <c r="R27" i="1"/>
  <c r="F73" i="1"/>
  <c r="L27" i="1"/>
  <c r="L28" i="1" s="1"/>
  <c r="L29" i="1" s="1"/>
  <c r="L30" i="1" s="1"/>
  <c r="F94" i="13"/>
  <c r="F44" i="1"/>
  <c r="U51" i="1"/>
  <c r="F45" i="1"/>
  <c r="R51" i="1"/>
  <c r="F95" i="1"/>
  <c r="F17" i="13" s="1"/>
  <c r="F56" i="1"/>
  <c r="R63" i="1"/>
  <c r="AA51" i="1"/>
  <c r="F97" i="1"/>
  <c r="F19" i="13" s="1"/>
  <c r="F87" i="1"/>
  <c r="F9" i="13" s="1"/>
  <c r="F71" i="1"/>
  <c r="F56" i="13"/>
  <c r="F60" i="13"/>
  <c r="BI71" i="13"/>
  <c r="F84" i="13"/>
  <c r="F93" i="13"/>
  <c r="F34" i="13"/>
  <c r="F63" i="13"/>
  <c r="F67" i="13"/>
  <c r="F75" i="13"/>
  <c r="F79" i="13"/>
  <c r="F83" i="13"/>
  <c r="R117" i="13"/>
  <c r="R118" i="13" s="1"/>
  <c r="R119" i="13" s="1"/>
  <c r="R120" i="13" s="1"/>
  <c r="R121" i="13" s="1"/>
  <c r="R122" i="13" s="1"/>
  <c r="R123" i="13" s="1"/>
  <c r="R124" i="13" s="1"/>
  <c r="R125" i="13" s="1"/>
  <c r="R126" i="13" s="1"/>
  <c r="R127" i="13" s="1"/>
  <c r="R128" i="13" s="1"/>
  <c r="O143" i="13"/>
  <c r="O144" i="13" s="1"/>
  <c r="O145" i="13" s="1"/>
  <c r="O146" i="13" s="1"/>
  <c r="O147" i="13" s="1"/>
  <c r="O148" i="13" s="1"/>
  <c r="O149" i="13" s="1"/>
  <c r="O150" i="13" s="1"/>
  <c r="O151" i="13" s="1"/>
  <c r="O152" i="13" s="1"/>
  <c r="O153" i="13" s="1"/>
  <c r="O154" i="13" s="1"/>
  <c r="L143" i="13"/>
  <c r="R143" i="13"/>
  <c r="R144" i="13" s="1"/>
  <c r="R145" i="13" s="1"/>
  <c r="R146" i="13" s="1"/>
  <c r="R147" i="13" s="1"/>
  <c r="R148" i="13" s="1"/>
  <c r="R149" i="13" s="1"/>
  <c r="R150" i="13" s="1"/>
  <c r="R151" i="13" s="1"/>
  <c r="R152" i="13" s="1"/>
  <c r="R153" i="13" s="1"/>
  <c r="BK117" i="13"/>
  <c r="BK118" i="13" s="1"/>
  <c r="BK119" i="13" s="1"/>
  <c r="BK120" i="13" s="1"/>
  <c r="BK121" i="13" s="1"/>
  <c r="BK122" i="13" s="1"/>
  <c r="BK123" i="13" s="1"/>
  <c r="BK124" i="13" s="1"/>
  <c r="BK125" i="13" s="1"/>
  <c r="BK126" i="13" s="1"/>
  <c r="BK127" i="13" s="1"/>
  <c r="BK128" i="13" s="1"/>
  <c r="E30" i="13"/>
  <c r="F31" i="13" s="1"/>
  <c r="F46" i="13"/>
  <c r="F50" i="13"/>
  <c r="BL144" i="13"/>
  <c r="BL145" i="13" s="1"/>
  <c r="BL146" i="13" s="1"/>
  <c r="BL147" i="13" s="1"/>
  <c r="BL148" i="13" s="1"/>
  <c r="BL149" i="13" s="1"/>
  <c r="BL150" i="13" s="1"/>
  <c r="BL151" i="13" s="1"/>
  <c r="BL152" i="13" s="1"/>
  <c r="BL153" i="13" s="1"/>
  <c r="BL154" i="13" s="1"/>
  <c r="AZ144" i="13"/>
  <c r="AZ145" i="13" s="1"/>
  <c r="AZ146" i="13" s="1"/>
  <c r="AZ147" i="13" s="1"/>
  <c r="AZ148" i="13" s="1"/>
  <c r="AZ149" i="13" s="1"/>
  <c r="AZ150" i="13" s="1"/>
  <c r="AZ151" i="13" s="1"/>
  <c r="BL129" i="13"/>
  <c r="BL130" i="13" s="1"/>
  <c r="AG130" i="13"/>
  <c r="BK129" i="13"/>
  <c r="BK130" i="13" s="1"/>
  <c r="AP81" i="13"/>
  <c r="AP89" i="13" s="1"/>
  <c r="AP21" i="13"/>
  <c r="AP22" i="13" s="1"/>
  <c r="AP23" i="13" s="1"/>
  <c r="AP24" i="13" s="1"/>
  <c r="AP25" i="13" s="1"/>
  <c r="AP26" i="13" s="1"/>
  <c r="AP27" i="13" s="1"/>
  <c r="AP28" i="13" s="1"/>
  <c r="AP29" i="13" s="1"/>
  <c r="AP30" i="13" s="1"/>
  <c r="AP31" i="13" s="1"/>
  <c r="AP32" i="13" s="1"/>
  <c r="L93" i="13"/>
  <c r="L96" i="13" s="1"/>
  <c r="O93" i="13"/>
  <c r="O101" i="13" s="1"/>
  <c r="F68" i="13"/>
  <c r="F35" i="13"/>
  <c r="F45" i="13"/>
  <c r="F61" i="13"/>
  <c r="F85" i="13"/>
  <c r="F103" i="13"/>
  <c r="F97" i="13"/>
  <c r="R33" i="13"/>
  <c r="R34" i="13" s="1"/>
  <c r="R35" i="13" s="1"/>
  <c r="R36" i="13" s="1"/>
  <c r="R37" i="13" s="1"/>
  <c r="R38" i="13" s="1"/>
  <c r="R39" i="13" s="1"/>
  <c r="R40" i="13" s="1"/>
  <c r="R41" i="13" s="1"/>
  <c r="R42" i="13" s="1"/>
  <c r="R43" i="13" s="1"/>
  <c r="R44" i="13" s="1"/>
  <c r="E22" i="13"/>
  <c r="AQ117" i="13"/>
  <c r="AQ118" i="13" s="1"/>
  <c r="AQ119" i="13" s="1"/>
  <c r="AQ120" i="13" s="1"/>
  <c r="AQ121" i="13" s="1"/>
  <c r="AQ122" i="13" s="1"/>
  <c r="AQ123" i="13" s="1"/>
  <c r="AQ124" i="13" s="1"/>
  <c r="AQ125" i="13" s="1"/>
  <c r="AQ126" i="13" s="1"/>
  <c r="AQ127" i="13" s="1"/>
  <c r="AQ128" i="13" s="1"/>
  <c r="BM129" i="13"/>
  <c r="BM130" i="13" s="1"/>
  <c r="E29" i="13"/>
  <c r="BL105" i="13"/>
  <c r="BK105" i="13"/>
  <c r="BK106" i="13" s="1"/>
  <c r="BK107" i="13" s="1"/>
  <c r="BK108" i="13" s="1"/>
  <c r="BK109" i="13" s="1"/>
  <c r="BK110" i="13" s="1"/>
  <c r="BK111" i="13" s="1"/>
  <c r="BK112" i="13" s="1"/>
  <c r="BK113" i="13" s="1"/>
  <c r="BK114" i="13" s="1"/>
  <c r="BK115" i="13" s="1"/>
  <c r="BK116" i="13" s="1"/>
  <c r="BL117" i="13"/>
  <c r="BL118" i="13" s="1"/>
  <c r="BL119" i="13" s="1"/>
  <c r="BL120" i="13" s="1"/>
  <c r="BL121" i="13" s="1"/>
  <c r="BL122" i="13" s="1"/>
  <c r="BL123" i="13" s="1"/>
  <c r="BL124" i="13" s="1"/>
  <c r="BL125" i="13" s="1"/>
  <c r="BL126" i="13" s="1"/>
  <c r="BL127" i="13" s="1"/>
  <c r="BL128" i="13" s="1"/>
  <c r="BM117" i="13"/>
  <c r="BM118" i="13" s="1"/>
  <c r="BM119" i="13" s="1"/>
  <c r="BM120" i="13" s="1"/>
  <c r="BM121" i="13" s="1"/>
  <c r="BM122" i="13" s="1"/>
  <c r="BM123" i="13" s="1"/>
  <c r="BM124" i="13" s="1"/>
  <c r="BM125" i="13" s="1"/>
  <c r="BM126" i="13" s="1"/>
  <c r="BM127" i="13" s="1"/>
  <c r="BM128" i="13" s="1"/>
  <c r="AP93" i="13"/>
  <c r="F44" i="13"/>
  <c r="BI79" i="13"/>
  <c r="R129" i="13"/>
  <c r="R130" i="13" s="1"/>
  <c r="R131" i="13" s="1"/>
  <c r="R132" i="13" s="1"/>
  <c r="R133" i="13" s="1"/>
  <c r="R134" i="13" s="1"/>
  <c r="R135" i="13" s="1"/>
  <c r="R136" i="13" s="1"/>
  <c r="AQ129" i="13"/>
  <c r="AQ130" i="13" s="1"/>
  <c r="BM93" i="13"/>
  <c r="BM103" i="13" s="1"/>
  <c r="F41" i="13"/>
  <c r="F42" i="13"/>
  <c r="L117" i="13"/>
  <c r="L118" i="13" s="1"/>
  <c r="L119" i="13" s="1"/>
  <c r="L120" i="13" s="1"/>
  <c r="L121" i="13" s="1"/>
  <c r="L122" i="13" s="1"/>
  <c r="L123" i="13" s="1"/>
  <c r="L124" i="13" s="1"/>
  <c r="L125" i="13" s="1"/>
  <c r="L126" i="13" s="1"/>
  <c r="L127" i="13" s="1"/>
  <c r="L128" i="13" s="1"/>
  <c r="F66" i="13"/>
  <c r="BI70" i="13"/>
  <c r="F78" i="13"/>
  <c r="F76" i="13"/>
  <c r="F86" i="13"/>
  <c r="F104" i="13"/>
  <c r="R105" i="13"/>
  <c r="R111" i="13" s="1"/>
  <c r="AQ105" i="13"/>
  <c r="BM105" i="13"/>
  <c r="O105" i="13"/>
  <c r="F105" i="13"/>
  <c r="F108" i="13"/>
  <c r="F109" i="13"/>
  <c r="F77" i="13"/>
  <c r="BK82" i="13"/>
  <c r="BK83" i="13" s="1"/>
  <c r="BK84" i="13" s="1"/>
  <c r="BK85" i="13" s="1"/>
  <c r="BK86" i="13" s="1"/>
  <c r="BK87" i="13" s="1"/>
  <c r="BK88" i="13" s="1"/>
  <c r="BK89" i="13" s="1"/>
  <c r="BK90" i="13" s="1"/>
  <c r="BK91" i="13" s="1"/>
  <c r="BK92" i="13" s="1"/>
  <c r="BL82" i="13"/>
  <c r="BL83" i="13" s="1"/>
  <c r="BL84" i="13" s="1"/>
  <c r="BL85" i="13" s="1"/>
  <c r="BL86" i="13" s="1"/>
  <c r="BL87" i="13" s="1"/>
  <c r="BL88" i="13" s="1"/>
  <c r="BL89" i="13" s="1"/>
  <c r="BL90" i="13" s="1"/>
  <c r="BL91" i="13" s="1"/>
  <c r="BL92" i="13" s="1"/>
  <c r="F81" i="13"/>
  <c r="L81" i="13"/>
  <c r="O81" i="13"/>
  <c r="F115" i="13"/>
  <c r="F36" i="13"/>
  <c r="F37" i="13"/>
  <c r="AJ35" i="13"/>
  <c r="AJ36" i="13" s="1"/>
  <c r="AJ37" i="13" s="1"/>
  <c r="AJ38" i="13" s="1"/>
  <c r="AJ39" i="13" s="1"/>
  <c r="AJ40" i="13" s="1"/>
  <c r="AJ41" i="13" s="1"/>
  <c r="AJ42" i="13" s="1"/>
  <c r="AJ43" i="13" s="1"/>
  <c r="AJ44" i="13" s="1"/>
  <c r="AP33" i="13"/>
  <c r="AP34" i="13" s="1"/>
  <c r="AP35" i="13" s="1"/>
  <c r="AP36" i="13" s="1"/>
  <c r="AP37" i="13" s="1"/>
  <c r="AP38" i="13" s="1"/>
  <c r="AP39" i="13" s="1"/>
  <c r="AP40" i="13" s="1"/>
  <c r="AP41" i="13" s="1"/>
  <c r="AP42" i="13" s="1"/>
  <c r="AP43" i="13" s="1"/>
  <c r="AP44" i="13" s="1"/>
  <c r="L33" i="13"/>
  <c r="L34" i="13" s="1"/>
  <c r="L35" i="13" s="1"/>
  <c r="L36" i="13" s="1"/>
  <c r="L37" i="13" s="1"/>
  <c r="L38" i="13" s="1"/>
  <c r="L39" i="13" s="1"/>
  <c r="L40" i="13" s="1"/>
  <c r="L41" i="13" s="1"/>
  <c r="L42" i="13" s="1"/>
  <c r="L43" i="13" s="1"/>
  <c r="L44" i="13" s="1"/>
  <c r="F33" i="13"/>
  <c r="F32" i="13"/>
  <c r="O33" i="13"/>
  <c r="O34" i="13" s="1"/>
  <c r="O35" i="13" s="1"/>
  <c r="O36" i="13" s="1"/>
  <c r="O37" i="13" s="1"/>
  <c r="O38" i="13" s="1"/>
  <c r="O39" i="13" s="1"/>
  <c r="O40" i="13" s="1"/>
  <c r="O41" i="13" s="1"/>
  <c r="O42" i="13" s="1"/>
  <c r="O43" i="13" s="1"/>
  <c r="O44" i="13" s="1"/>
  <c r="E27" i="13"/>
  <c r="E25" i="13"/>
  <c r="E26" i="13"/>
  <c r="E28" i="13"/>
  <c r="E23" i="13"/>
  <c r="F23" i="13" s="1"/>
  <c r="E21" i="13"/>
  <c r="E20" i="13"/>
  <c r="F20" i="13" s="1"/>
  <c r="F48" i="13"/>
  <c r="F49" i="13"/>
  <c r="F52" i="13"/>
  <c r="F53" i="13"/>
  <c r="AP57" i="13"/>
  <c r="F57" i="13"/>
  <c r="F65" i="13"/>
  <c r="F64" i="13"/>
  <c r="BF69" i="13"/>
  <c r="BF81" i="13" s="1"/>
  <c r="BF93" i="13" s="1"/>
  <c r="BF105" i="13" s="1"/>
  <c r="BF117" i="13" s="1"/>
  <c r="BF129" i="13" s="1"/>
  <c r="BI76" i="13"/>
  <c r="O69" i="13"/>
  <c r="BI74" i="13"/>
  <c r="AP69" i="13"/>
  <c r="F69" i="13"/>
  <c r="BI75" i="13"/>
  <c r="BI72" i="13"/>
  <c r="BI80" i="13"/>
  <c r="L69" i="13"/>
  <c r="BI77" i="13"/>
  <c r="BI69" i="13"/>
  <c r="BI81" i="13" s="1"/>
  <c r="BI78" i="13"/>
  <c r="BI73" i="13"/>
  <c r="F72" i="13"/>
  <c r="F73" i="13"/>
  <c r="F90" i="13"/>
  <c r="F91" i="13"/>
  <c r="F101" i="13"/>
  <c r="F100" i="13"/>
  <c r="L105" i="13"/>
  <c r="L108" i="13" s="1"/>
  <c r="AJ69" i="13"/>
  <c r="AJ70" i="13" s="1"/>
  <c r="AJ71" i="13" s="1"/>
  <c r="F87" i="13"/>
  <c r="L129" i="13"/>
  <c r="O129" i="13"/>
  <c r="O130" i="13" s="1"/>
  <c r="O131" i="13" s="1"/>
  <c r="O132" i="13" s="1"/>
  <c r="O133" i="13" s="1"/>
  <c r="O134" i="13" s="1"/>
  <c r="O135" i="13" s="1"/>
  <c r="O136" i="13" s="1"/>
  <c r="F96" i="13"/>
  <c r="F116" i="13"/>
  <c r="F88" i="13"/>
  <c r="F89" i="13"/>
  <c r="F57" i="1"/>
  <c r="F58" i="1"/>
  <c r="AD39" i="1"/>
  <c r="I39" i="1"/>
  <c r="L39" i="1"/>
  <c r="R39" i="1"/>
  <c r="O39" i="1"/>
  <c r="AA39" i="1"/>
  <c r="U39" i="1"/>
  <c r="F38" i="1"/>
  <c r="F118" i="13"/>
  <c r="F119" i="13"/>
  <c r="F61" i="1"/>
  <c r="F60" i="1"/>
  <c r="F39" i="1"/>
  <c r="F40" i="1"/>
  <c r="F58" i="13"/>
  <c r="F59" i="13"/>
  <c r="F71" i="13"/>
  <c r="F70" i="13"/>
  <c r="F38" i="13"/>
  <c r="F39" i="13"/>
  <c r="AP45" i="13"/>
  <c r="AP46" i="13" s="1"/>
  <c r="AP47" i="13" s="1"/>
  <c r="AP48" i="13" s="1"/>
  <c r="AP49" i="13" s="1"/>
  <c r="AP50" i="13" s="1"/>
  <c r="AP51" i="13" s="1"/>
  <c r="AP52" i="13" s="1"/>
  <c r="AP53" i="13" s="1"/>
  <c r="AP54" i="13" s="1"/>
  <c r="AP55" i="13" s="1"/>
  <c r="AP56" i="13" s="1"/>
  <c r="R45" i="13"/>
  <c r="R46" i="13" s="1"/>
  <c r="R47" i="13" s="1"/>
  <c r="R48" i="13" s="1"/>
  <c r="R49" i="13" s="1"/>
  <c r="R50" i="13" s="1"/>
  <c r="R51" i="13" s="1"/>
  <c r="R52" i="13" s="1"/>
  <c r="R53" i="13" s="1"/>
  <c r="R54" i="13" s="1"/>
  <c r="R55" i="13" s="1"/>
  <c r="R56" i="13" s="1"/>
  <c r="O45" i="13"/>
  <c r="O46" i="13" s="1"/>
  <c r="O47" i="13" s="1"/>
  <c r="O48" i="13" s="1"/>
  <c r="O49" i="13" s="1"/>
  <c r="O50" i="13" s="1"/>
  <c r="O51" i="13" s="1"/>
  <c r="O52" i="13" s="1"/>
  <c r="O53" i="13" s="1"/>
  <c r="O54" i="13" s="1"/>
  <c r="O55" i="13" s="1"/>
  <c r="O56" i="13" s="1"/>
  <c r="O117" i="13"/>
  <c r="O118" i="13" s="1"/>
  <c r="O119" i="13" s="1"/>
  <c r="O120" i="13" s="1"/>
  <c r="O121" i="13" s="1"/>
  <c r="O122" i="13" s="1"/>
  <c r="O123" i="13" s="1"/>
  <c r="O124" i="13" s="1"/>
  <c r="O125" i="13" s="1"/>
  <c r="O126" i="13" s="1"/>
  <c r="O127" i="13" s="1"/>
  <c r="O128" i="13" s="1"/>
  <c r="R69" i="13"/>
  <c r="L45" i="13"/>
  <c r="L46" i="13" s="1"/>
  <c r="L47" i="13" s="1"/>
  <c r="L48" i="13" s="1"/>
  <c r="L49" i="13" s="1"/>
  <c r="L50" i="13" s="1"/>
  <c r="L51" i="13" s="1"/>
  <c r="L52" i="13" s="1"/>
  <c r="L53" i="13" s="1"/>
  <c r="L54" i="13" s="1"/>
  <c r="L55" i="13" s="1"/>
  <c r="L56" i="13" s="1"/>
  <c r="F92" i="13"/>
  <c r="BK93" i="13"/>
  <c r="BK94" i="13" s="1"/>
  <c r="BK95" i="13" s="1"/>
  <c r="BK96" i="13" s="1"/>
  <c r="BK97" i="13" s="1"/>
  <c r="BK98" i="13" s="1"/>
  <c r="BK99" i="13" s="1"/>
  <c r="BK100" i="13" s="1"/>
  <c r="BK101" i="13" s="1"/>
  <c r="BK102" i="13" s="1"/>
  <c r="BK103" i="13" s="1"/>
  <c r="BK104" i="13" s="1"/>
  <c r="R93" i="13"/>
  <c r="BL93" i="13"/>
  <c r="AQ93" i="13"/>
  <c r="F80" i="13"/>
  <c r="R81" i="13"/>
  <c r="AQ81" i="13"/>
  <c r="X63" i="1"/>
  <c r="F63" i="1"/>
  <c r="I63" i="1"/>
  <c r="L63" i="1"/>
  <c r="R57" i="13"/>
  <c r="L57" i="13"/>
  <c r="O57" i="13"/>
  <c r="F114" i="13"/>
  <c r="AG33" i="1" l="1"/>
  <c r="AG34" i="1" s="1"/>
  <c r="F21" i="13"/>
  <c r="F22" i="13"/>
  <c r="AJ84" i="13"/>
  <c r="AG118" i="13"/>
  <c r="AG119" i="13" s="1"/>
  <c r="AG120" i="13" s="1"/>
  <c r="AG121" i="13" s="1"/>
  <c r="AA129" i="13"/>
  <c r="AA130" i="13" s="1"/>
  <c r="AZ118" i="13"/>
  <c r="AZ119" i="13" s="1"/>
  <c r="AZ120" i="13" s="1"/>
  <c r="AZ121" i="13" s="1"/>
  <c r="AZ122" i="13" s="1"/>
  <c r="AZ123" i="13" s="1"/>
  <c r="AZ124" i="13" s="1"/>
  <c r="AZ125" i="13" s="1"/>
  <c r="AZ126" i="13" s="1"/>
  <c r="AZ127" i="13" s="1"/>
  <c r="AZ128" i="13" s="1"/>
  <c r="AW129" i="13"/>
  <c r="AW130" i="13" s="1"/>
  <c r="AW128" i="13"/>
  <c r="AW127" i="13"/>
  <c r="AW126" i="13"/>
  <c r="AW122" i="13"/>
  <c r="AW125" i="13"/>
  <c r="AW121" i="13"/>
  <c r="AW124" i="13"/>
  <c r="AW120" i="13"/>
  <c r="AW123" i="13"/>
  <c r="AW119" i="13"/>
  <c r="AD128" i="13"/>
  <c r="AD124" i="13"/>
  <c r="AD120" i="13"/>
  <c r="AD127" i="13"/>
  <c r="AD123" i="13"/>
  <c r="AD119" i="13"/>
  <c r="AD126" i="13"/>
  <c r="AD122" i="13"/>
  <c r="AD118" i="13"/>
  <c r="AD125" i="13"/>
  <c r="AD121" i="13"/>
  <c r="AA128" i="13"/>
  <c r="AA124" i="13"/>
  <c r="AA120" i="13"/>
  <c r="AA122" i="13"/>
  <c r="AA127" i="13"/>
  <c r="AA123" i="13"/>
  <c r="AA119" i="13"/>
  <c r="AA118" i="13"/>
  <c r="AA125" i="13"/>
  <c r="AA126" i="13"/>
  <c r="AA121" i="13"/>
  <c r="AG112" i="13"/>
  <c r="F30" i="13"/>
  <c r="AA31" i="1"/>
  <c r="AA32" i="1" s="1"/>
  <c r="AA33" i="1" s="1"/>
  <c r="AA34" i="1" s="1"/>
  <c r="L31" i="1"/>
  <c r="L32" i="1" s="1"/>
  <c r="L33" i="1" s="1"/>
  <c r="L34" i="1" s="1"/>
  <c r="X52" i="1"/>
  <c r="X53" i="1" s="1"/>
  <c r="X54" i="1" s="1"/>
  <c r="X55" i="1" s="1"/>
  <c r="X56" i="1" s="1"/>
  <c r="X57" i="1" s="1"/>
  <c r="X58" i="1" s="1"/>
  <c r="X59" i="1" s="1"/>
  <c r="X60" i="1" s="1"/>
  <c r="X61" i="1" s="1"/>
  <c r="X62" i="1" s="1"/>
  <c r="BM100" i="13"/>
  <c r="L98" i="13"/>
  <c r="L99" i="13"/>
  <c r="L102" i="13"/>
  <c r="R112" i="13"/>
  <c r="L104" i="13"/>
  <c r="X40" i="1"/>
  <c r="AA35" i="1"/>
  <c r="AA36" i="1" s="1"/>
  <c r="AA37" i="1" s="1"/>
  <c r="AA38" i="1" s="1"/>
  <c r="AG115" i="13"/>
  <c r="AG113" i="13"/>
  <c r="L35" i="1"/>
  <c r="L36" i="1" s="1"/>
  <c r="L37" i="1" s="1"/>
  <c r="L38" i="1" s="1"/>
  <c r="X28" i="1"/>
  <c r="X29" i="1" s="1"/>
  <c r="X30" i="1" s="1"/>
  <c r="X31" i="1" s="1"/>
  <c r="X32" i="1" s="1"/>
  <c r="X33" i="1" s="1"/>
  <c r="X34" i="1" s="1"/>
  <c r="X35" i="1" s="1"/>
  <c r="X36" i="1" s="1"/>
  <c r="X37" i="1" s="1"/>
  <c r="X38" i="1" s="1"/>
  <c r="AG35" i="1"/>
  <c r="AG36" i="1" s="1"/>
  <c r="AG37" i="1" s="1"/>
  <c r="AG38" i="1" s="1"/>
  <c r="AJ88" i="13"/>
  <c r="L111" i="13"/>
  <c r="U52" i="1"/>
  <c r="U53" i="1" s="1"/>
  <c r="U54" i="1" s="1"/>
  <c r="U55" i="1" s="1"/>
  <c r="U56" i="1" s="1"/>
  <c r="U57" i="1" s="1"/>
  <c r="U58" i="1" s="1"/>
  <c r="U59" i="1" s="1"/>
  <c r="U60" i="1" s="1"/>
  <c r="U61" i="1" s="1"/>
  <c r="U62" i="1" s="1"/>
  <c r="L52" i="1"/>
  <c r="L53" i="1" s="1"/>
  <c r="L54" i="1" s="1"/>
  <c r="L55" i="1" s="1"/>
  <c r="L56" i="1" s="1"/>
  <c r="L57" i="1" s="1"/>
  <c r="L58" i="1" s="1"/>
  <c r="L59" i="1" s="1"/>
  <c r="L60" i="1" s="1"/>
  <c r="L61" i="1" s="1"/>
  <c r="L62" i="1" s="1"/>
  <c r="I52" i="1"/>
  <c r="I53" i="1" s="1"/>
  <c r="I54" i="1" s="1"/>
  <c r="I55" i="1" s="1"/>
  <c r="I56" i="1" s="1"/>
  <c r="I57" i="1" s="1"/>
  <c r="I58" i="1" s="1"/>
  <c r="I59" i="1" s="1"/>
  <c r="I60" i="1" s="1"/>
  <c r="I61" i="1" s="1"/>
  <c r="I62" i="1" s="1"/>
  <c r="F18" i="13"/>
  <c r="R107" i="13"/>
  <c r="AP85" i="13"/>
  <c r="BM94" i="13"/>
  <c r="AD52" i="1"/>
  <c r="AD53" i="1" s="1"/>
  <c r="AD54" i="1" s="1"/>
  <c r="AD55" i="1" s="1"/>
  <c r="AD56" i="1" s="1"/>
  <c r="X41" i="1"/>
  <c r="X42" i="1" s="1"/>
  <c r="X43" i="1" s="1"/>
  <c r="X44" i="1" s="1"/>
  <c r="X45" i="1" s="1"/>
  <c r="X46" i="1" s="1"/>
  <c r="X47" i="1" s="1"/>
  <c r="X48" i="1" s="1"/>
  <c r="X49" i="1" s="1"/>
  <c r="X50" i="1" s="1"/>
  <c r="R106" i="13"/>
  <c r="AD64" i="1"/>
  <c r="AD65" i="1" s="1"/>
  <c r="AD66" i="1" s="1"/>
  <c r="AD67" i="1" s="1"/>
  <c r="AD68" i="1" s="1"/>
  <c r="AD69" i="1" s="1"/>
  <c r="AD70" i="1" s="1"/>
  <c r="AD71" i="1" s="1"/>
  <c r="AD72" i="1" s="1"/>
  <c r="AD73" i="1" s="1"/>
  <c r="AD74" i="1" s="1"/>
  <c r="AD75" i="1" s="1"/>
  <c r="AD76" i="1" s="1"/>
  <c r="AD77" i="1" s="1"/>
  <c r="AD78" i="1" s="1"/>
  <c r="AD79" i="1" s="1"/>
  <c r="AD80" i="1" s="1"/>
  <c r="AD81" i="1" s="1"/>
  <c r="AD82" i="1" s="1"/>
  <c r="AD83" i="1" s="1"/>
  <c r="AD84" i="1" s="1"/>
  <c r="AD85" i="1" s="1"/>
  <c r="AD86" i="1" s="1"/>
  <c r="AD87" i="1" s="1"/>
  <c r="AD88" i="1" s="1"/>
  <c r="AD89" i="1" s="1"/>
  <c r="AD90" i="1" s="1"/>
  <c r="AD91" i="1" s="1"/>
  <c r="AD92" i="1" s="1"/>
  <c r="AD93" i="1" s="1"/>
  <c r="AD94" i="1" s="1"/>
  <c r="AD95" i="1" s="1"/>
  <c r="AD96" i="1" s="1"/>
  <c r="AD97" i="1" s="1"/>
  <c r="R110" i="13"/>
  <c r="AA52" i="1"/>
  <c r="AA53" i="1" s="1"/>
  <c r="AA54" i="1" s="1"/>
  <c r="AA55" i="1" s="1"/>
  <c r="AA56" i="1" s="1"/>
  <c r="AA57" i="1" s="1"/>
  <c r="AA58" i="1" s="1"/>
  <c r="AA59" i="1" s="1"/>
  <c r="AA60" i="1" s="1"/>
  <c r="AA61" i="1" s="1"/>
  <c r="AA62" i="1" s="1"/>
  <c r="R52" i="1"/>
  <c r="R53" i="1" s="1"/>
  <c r="R54" i="1" s="1"/>
  <c r="R55" i="1" s="1"/>
  <c r="R56" i="1" s="1"/>
  <c r="R57" i="1" s="1"/>
  <c r="O28" i="1"/>
  <c r="O29" i="1" s="1"/>
  <c r="O30" i="1" s="1"/>
  <c r="O31" i="1" s="1"/>
  <c r="O32" i="1" s="1"/>
  <c r="O33" i="1" s="1"/>
  <c r="O34" i="1" s="1"/>
  <c r="O35" i="1" s="1"/>
  <c r="O36" i="1" s="1"/>
  <c r="O37" i="1" s="1"/>
  <c r="O38" i="1" s="1"/>
  <c r="R28" i="1"/>
  <c r="R29" i="1" s="1"/>
  <c r="R30" i="1" s="1"/>
  <c r="R31" i="1" s="1"/>
  <c r="R32" i="1" s="1"/>
  <c r="R33" i="1" s="1"/>
  <c r="R34" i="1" s="1"/>
  <c r="R35" i="1" s="1"/>
  <c r="R36" i="1" s="1"/>
  <c r="R37" i="1" s="1"/>
  <c r="R38" i="1" s="1"/>
  <c r="O52" i="1"/>
  <c r="O53" i="1" s="1"/>
  <c r="O54" i="1" s="1"/>
  <c r="O55" i="1" s="1"/>
  <c r="O56" i="1" s="1"/>
  <c r="O57" i="1" s="1"/>
  <c r="O58" i="1" s="1"/>
  <c r="O59" i="1" s="1"/>
  <c r="O60" i="1" s="1"/>
  <c r="O61" i="1" s="1"/>
  <c r="O62" i="1" s="1"/>
  <c r="L156" i="13"/>
  <c r="AZ152" i="13"/>
  <c r="AZ153" i="13" s="1"/>
  <c r="AZ154" i="13" s="1"/>
  <c r="AP87" i="13"/>
  <c r="AG39" i="1"/>
  <c r="AG40" i="1" s="1"/>
  <c r="AG41" i="1" s="1"/>
  <c r="AG42" i="1" s="1"/>
  <c r="AG43" i="1" s="1"/>
  <c r="AG44" i="1" s="1"/>
  <c r="AG45" i="1" s="1"/>
  <c r="AG46" i="1" s="1"/>
  <c r="AG47" i="1" s="1"/>
  <c r="AG48" i="1" s="1"/>
  <c r="AG49" i="1" s="1"/>
  <c r="AG50" i="1" s="1"/>
  <c r="AG51" i="1" s="1"/>
  <c r="AG52" i="1" s="1"/>
  <c r="AG53" i="1" s="1"/>
  <c r="AG54" i="1" s="1"/>
  <c r="AG55" i="1" s="1"/>
  <c r="AG56" i="1" s="1"/>
  <c r="AG57" i="1" s="1"/>
  <c r="AG58" i="1" s="1"/>
  <c r="AG59" i="1" s="1"/>
  <c r="AG60" i="1" s="1"/>
  <c r="AG61" i="1" s="1"/>
  <c r="AG62" i="1" s="1"/>
  <c r="AG63" i="1" s="1"/>
  <c r="AG64" i="1" s="1"/>
  <c r="AG65" i="1" s="1"/>
  <c r="AG66" i="1" s="1"/>
  <c r="AG67" i="1" s="1"/>
  <c r="AG68" i="1" s="1"/>
  <c r="AG69" i="1" s="1"/>
  <c r="AG70" i="1" s="1"/>
  <c r="AG71" i="1" s="1"/>
  <c r="AG72" i="1" s="1"/>
  <c r="AG73" i="1" s="1"/>
  <c r="AG74" i="1" s="1"/>
  <c r="AG75" i="1" s="1"/>
  <c r="AG76" i="1" s="1"/>
  <c r="AG77" i="1" s="1"/>
  <c r="AG78" i="1" s="1"/>
  <c r="AG79" i="1" s="1"/>
  <c r="AG80" i="1" s="1"/>
  <c r="AG81" i="1" s="1"/>
  <c r="AG82" i="1" s="1"/>
  <c r="AG83" i="1" s="1"/>
  <c r="AG84" i="1" s="1"/>
  <c r="AG85" i="1" s="1"/>
  <c r="AG86" i="1" s="1"/>
  <c r="AM8" i="13" s="1"/>
  <c r="X64" i="1"/>
  <c r="X65" i="1" s="1"/>
  <c r="X66" i="1" s="1"/>
  <c r="X67" i="1" s="1"/>
  <c r="X68" i="1" s="1"/>
  <c r="X69" i="1" s="1"/>
  <c r="X70" i="1" s="1"/>
  <c r="X71" i="1" s="1"/>
  <c r="X72" i="1" s="1"/>
  <c r="X73" i="1" s="1"/>
  <c r="X74" i="1" s="1"/>
  <c r="X75" i="1" s="1"/>
  <c r="X76" i="1" s="1"/>
  <c r="X77" i="1" s="1"/>
  <c r="X78" i="1" s="1"/>
  <c r="X79" i="1" s="1"/>
  <c r="X80" i="1" s="1"/>
  <c r="X81" i="1" s="1"/>
  <c r="X82" i="1" s="1"/>
  <c r="X83" i="1" s="1"/>
  <c r="X84" i="1" s="1"/>
  <c r="X85" i="1" s="1"/>
  <c r="X86" i="1" s="1"/>
  <c r="X87" i="1" s="1"/>
  <c r="X88" i="1" s="1"/>
  <c r="X89" i="1" s="1"/>
  <c r="X90" i="1" s="1"/>
  <c r="X91" i="1" s="1"/>
  <c r="X92" i="1" s="1"/>
  <c r="X93" i="1" s="1"/>
  <c r="X94" i="1" s="1"/>
  <c r="X95" i="1" s="1"/>
  <c r="X96" i="1" s="1"/>
  <c r="X97" i="1" s="1"/>
  <c r="U40" i="1"/>
  <c r="L40" i="1"/>
  <c r="L41" i="1" s="1"/>
  <c r="L42" i="1" s="1"/>
  <c r="L43" i="1" s="1"/>
  <c r="L44" i="1" s="1"/>
  <c r="L45" i="1" s="1"/>
  <c r="L46" i="1" s="1"/>
  <c r="L47" i="1" s="1"/>
  <c r="L48" i="1" s="1"/>
  <c r="L49" i="1" s="1"/>
  <c r="L50" i="1" s="1"/>
  <c r="AP91" i="13"/>
  <c r="AP86" i="13"/>
  <c r="BM95" i="13"/>
  <c r="BM98" i="13"/>
  <c r="BM101" i="13"/>
  <c r="AP84" i="13"/>
  <c r="AP92" i="13"/>
  <c r="I28" i="1"/>
  <c r="I29" i="1" s="1"/>
  <c r="I30" i="1" s="1"/>
  <c r="I31" i="1" s="1"/>
  <c r="I32" i="1" s="1"/>
  <c r="I33" i="1" s="1"/>
  <c r="I34" i="1" s="1"/>
  <c r="I35" i="1" s="1"/>
  <c r="I36" i="1" s="1"/>
  <c r="I37" i="1" s="1"/>
  <c r="I38" i="1" s="1"/>
  <c r="AD28" i="1"/>
  <c r="AD29" i="1" s="1"/>
  <c r="AD30" i="1" s="1"/>
  <c r="AD31" i="1" s="1"/>
  <c r="AD32" i="1" s="1"/>
  <c r="AD33" i="1" s="1"/>
  <c r="AD34" i="1" s="1"/>
  <c r="AD35" i="1" s="1"/>
  <c r="AD36" i="1" s="1"/>
  <c r="AD37" i="1" s="1"/>
  <c r="AD38" i="1" s="1"/>
  <c r="U28" i="1"/>
  <c r="U29" i="1" s="1"/>
  <c r="U30" i="1" s="1"/>
  <c r="U31" i="1" s="1"/>
  <c r="U32" i="1" s="1"/>
  <c r="U33" i="1" s="1"/>
  <c r="U34" i="1" s="1"/>
  <c r="U35" i="1" s="1"/>
  <c r="U36" i="1" s="1"/>
  <c r="U37" i="1" s="1"/>
  <c r="U38" i="1" s="1"/>
  <c r="AP88" i="13"/>
  <c r="BM99" i="13"/>
  <c r="BM97" i="13"/>
  <c r="AP90" i="13"/>
  <c r="L144" i="13"/>
  <c r="L145" i="13" s="1"/>
  <c r="L146" i="13" s="1"/>
  <c r="L147" i="13" s="1"/>
  <c r="AL19" i="13"/>
  <c r="AL20" i="13" s="1"/>
  <c r="AL21" i="13" s="1"/>
  <c r="L64" i="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I64" i="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O40" i="1"/>
  <c r="O41" i="1" s="1"/>
  <c r="O42" i="1" s="1"/>
  <c r="O43" i="1" s="1"/>
  <c r="O44" i="1" s="1"/>
  <c r="O45" i="1" s="1"/>
  <c r="O46" i="1" s="1"/>
  <c r="O47" i="1" s="1"/>
  <c r="O48" i="1" s="1"/>
  <c r="O49" i="1" s="1"/>
  <c r="O50" i="1" s="1"/>
  <c r="AD40" i="1"/>
  <c r="AD41" i="1" s="1"/>
  <c r="AD42" i="1" s="1"/>
  <c r="AD43" i="1" s="1"/>
  <c r="AD44" i="1" s="1"/>
  <c r="AD45" i="1" s="1"/>
  <c r="AD46" i="1" s="1"/>
  <c r="AD47" i="1" s="1"/>
  <c r="AD48" i="1" s="1"/>
  <c r="AD49" i="1" s="1"/>
  <c r="AD50" i="1" s="1"/>
  <c r="BM96" i="13"/>
  <c r="AD57" i="1"/>
  <c r="AD58" i="1" s="1"/>
  <c r="AD59" i="1" s="1"/>
  <c r="AD60" i="1" s="1"/>
  <c r="AD61" i="1" s="1"/>
  <c r="AD62" i="1" s="1"/>
  <c r="AG111" i="13"/>
  <c r="AG109" i="13"/>
  <c r="AG110" i="13"/>
  <c r="AG106" i="13"/>
  <c r="O100" i="13"/>
  <c r="AG107" i="13"/>
  <c r="AG108" i="13"/>
  <c r="AG114" i="13"/>
  <c r="O94" i="13"/>
  <c r="I154" i="13"/>
  <c r="L101" i="13"/>
  <c r="AJ91" i="13"/>
  <c r="AG146" i="13"/>
  <c r="R154" i="13"/>
  <c r="L100" i="13"/>
  <c r="AP82" i="13"/>
  <c r="AP83" i="13"/>
  <c r="O138" i="13"/>
  <c r="O137" i="13"/>
  <c r="O139" i="13" s="1"/>
  <c r="O140" i="13" s="1"/>
  <c r="O141" i="13" s="1"/>
  <c r="O142" i="13" s="1"/>
  <c r="I137" i="13"/>
  <c r="I139" i="13" s="1"/>
  <c r="I140" i="13" s="1"/>
  <c r="I141" i="13" s="1"/>
  <c r="I142" i="13" s="1"/>
  <c r="I138" i="13"/>
  <c r="R138" i="13"/>
  <c r="R137" i="13"/>
  <c r="R139" i="13" s="1"/>
  <c r="R140" i="13" s="1"/>
  <c r="R141" i="13" s="1"/>
  <c r="R142" i="13" s="1"/>
  <c r="O96" i="13"/>
  <c r="O103" i="13"/>
  <c r="O102" i="13"/>
  <c r="O97" i="13"/>
  <c r="O104" i="13"/>
  <c r="O98" i="13"/>
  <c r="O95" i="13"/>
  <c r="O99" i="13"/>
  <c r="L95" i="13"/>
  <c r="L97" i="13"/>
  <c r="L94" i="13"/>
  <c r="L103" i="13" s="1"/>
  <c r="L130" i="13"/>
  <c r="L131" i="13" s="1"/>
  <c r="L132" i="13" s="1"/>
  <c r="L133" i="13" s="1"/>
  <c r="L134" i="13" s="1"/>
  <c r="L135" i="13" s="1"/>
  <c r="L136" i="13" s="1"/>
  <c r="AQ132" i="13"/>
  <c r="AQ133" i="13" s="1"/>
  <c r="AQ134" i="13" s="1"/>
  <c r="AQ135" i="13" s="1"/>
  <c r="AQ136" i="13" s="1"/>
  <c r="AQ131" i="13"/>
  <c r="AJ89" i="13"/>
  <c r="AJ87" i="13"/>
  <c r="AP94" i="13"/>
  <c r="AP98" i="13"/>
  <c r="AP97" i="13"/>
  <c r="AP102" i="13"/>
  <c r="AP101" i="13"/>
  <c r="AP95" i="13"/>
  <c r="AP103" i="13"/>
  <c r="AP99" i="13"/>
  <c r="AP104" i="13"/>
  <c r="AP96" i="13"/>
  <c r="AP100" i="13"/>
  <c r="R113" i="13"/>
  <c r="R109" i="13"/>
  <c r="AJ90" i="13"/>
  <c r="AJ86" i="13"/>
  <c r="F25" i="13"/>
  <c r="AJ83" i="13"/>
  <c r="AJ85" i="13"/>
  <c r="AJ92" i="13"/>
  <c r="AD104" i="13" s="1"/>
  <c r="BM102" i="13"/>
  <c r="BM104" i="13"/>
  <c r="O92" i="13"/>
  <c r="O90" i="13"/>
  <c r="O84" i="13"/>
  <c r="O87" i="13"/>
  <c r="O91" i="13"/>
  <c r="O88" i="13"/>
  <c r="O83" i="13"/>
  <c r="O86" i="13"/>
  <c r="O82" i="13"/>
  <c r="O85" i="13"/>
  <c r="O89" i="13"/>
  <c r="BM107" i="13"/>
  <c r="BM106" i="13"/>
  <c r="BM114" i="13"/>
  <c r="BM110" i="13"/>
  <c r="BM113" i="13"/>
  <c r="BM116" i="13"/>
  <c r="BM111" i="13"/>
  <c r="BM112" i="13"/>
  <c r="BM108" i="13"/>
  <c r="BM115" i="13"/>
  <c r="BM109" i="13"/>
  <c r="L114" i="13"/>
  <c r="L113" i="13"/>
  <c r="L106" i="13"/>
  <c r="L112" i="13"/>
  <c r="L109" i="13"/>
  <c r="L115" i="13"/>
  <c r="L110" i="13"/>
  <c r="L107" i="13"/>
  <c r="L116" i="13"/>
  <c r="I71" i="13"/>
  <c r="I79" i="13"/>
  <c r="I76" i="13"/>
  <c r="I80" i="13"/>
  <c r="I74" i="13"/>
  <c r="I77" i="13"/>
  <c r="I72" i="13"/>
  <c r="I70" i="13"/>
  <c r="I78" i="13"/>
  <c r="I75" i="13"/>
  <c r="I73" i="13"/>
  <c r="O76" i="13"/>
  <c r="O79" i="13"/>
  <c r="O80" i="13"/>
  <c r="O73" i="13"/>
  <c r="O74" i="13"/>
  <c r="O75" i="13"/>
  <c r="O71" i="13"/>
  <c r="O78" i="13"/>
  <c r="O77" i="13"/>
  <c r="O72" i="13"/>
  <c r="O70" i="13"/>
  <c r="F26" i="13"/>
  <c r="L89" i="13"/>
  <c r="L88" i="13"/>
  <c r="L82" i="13"/>
  <c r="L91" i="13"/>
  <c r="L84" i="13"/>
  <c r="L87" i="13"/>
  <c r="L86" i="13"/>
  <c r="L90" i="13"/>
  <c r="L83" i="13"/>
  <c r="L92" i="13"/>
  <c r="L85" i="13"/>
  <c r="AZ108" i="13"/>
  <c r="AZ115" i="13"/>
  <c r="AZ106" i="13"/>
  <c r="AZ114" i="13"/>
  <c r="AZ112" i="13"/>
  <c r="AZ110" i="13"/>
  <c r="AZ111" i="13"/>
  <c r="AZ107" i="13"/>
  <c r="AZ116" i="13"/>
  <c r="AZ109" i="13"/>
  <c r="AZ113" i="13"/>
  <c r="AQ113" i="13"/>
  <c r="AQ107" i="13"/>
  <c r="AQ116" i="13"/>
  <c r="AQ114" i="13"/>
  <c r="AQ108" i="13"/>
  <c r="AQ111" i="13"/>
  <c r="AQ115" i="13"/>
  <c r="AQ110" i="13"/>
  <c r="AQ112" i="13"/>
  <c r="AQ106" i="13"/>
  <c r="AQ109" i="13"/>
  <c r="F29" i="13"/>
  <c r="F28" i="13"/>
  <c r="BI86" i="13"/>
  <c r="BI91" i="13"/>
  <c r="BI92" i="13"/>
  <c r="BI93" i="13"/>
  <c r="BI85" i="13"/>
  <c r="BI84" i="13"/>
  <c r="BI90" i="13"/>
  <c r="BI89" i="13"/>
  <c r="BI87" i="13"/>
  <c r="BI83" i="13"/>
  <c r="BI82" i="13"/>
  <c r="BI88" i="13"/>
  <c r="AQ69" i="13"/>
  <c r="AP71" i="13"/>
  <c r="AP70" i="13"/>
  <c r="AJ116" i="13"/>
  <c r="AJ112" i="13"/>
  <c r="AJ114" i="13"/>
  <c r="AJ108" i="13"/>
  <c r="AJ113" i="13"/>
  <c r="AJ115" i="13"/>
  <c r="AJ111" i="13"/>
  <c r="AJ106" i="13"/>
  <c r="AJ109" i="13"/>
  <c r="AJ107" i="13"/>
  <c r="AJ110" i="13"/>
  <c r="BL109" i="13"/>
  <c r="BL111" i="13"/>
  <c r="BL110" i="13"/>
  <c r="BL114" i="13"/>
  <c r="BL113" i="13"/>
  <c r="BL107" i="13"/>
  <c r="BL106" i="13"/>
  <c r="BL112" i="13"/>
  <c r="BL108" i="13"/>
  <c r="BL116" i="13"/>
  <c r="BL115" i="13"/>
  <c r="L75" i="13"/>
  <c r="L71" i="13"/>
  <c r="L70" i="13"/>
  <c r="L79" i="13"/>
  <c r="L72" i="13"/>
  <c r="L76" i="13"/>
  <c r="L73" i="13"/>
  <c r="L80" i="13"/>
  <c r="L77" i="13"/>
  <c r="L78" i="13"/>
  <c r="L74" i="13"/>
  <c r="BF72" i="13"/>
  <c r="BF73" i="13"/>
  <c r="BF79" i="13"/>
  <c r="BF78" i="13"/>
  <c r="BF75" i="13"/>
  <c r="BF70" i="13"/>
  <c r="BF74" i="13"/>
  <c r="BF80" i="13"/>
  <c r="BF71" i="13"/>
  <c r="BF76" i="13"/>
  <c r="BF77" i="13"/>
  <c r="AP66" i="13"/>
  <c r="AP63" i="13"/>
  <c r="AP65" i="13"/>
  <c r="AP67" i="13"/>
  <c r="AP61" i="13"/>
  <c r="AP60" i="13"/>
  <c r="AP62" i="13"/>
  <c r="AP64" i="13"/>
  <c r="AP68" i="13"/>
  <c r="AP58" i="13"/>
  <c r="AP59" i="13"/>
  <c r="F24" i="13"/>
  <c r="F27" i="13"/>
  <c r="AG85" i="13"/>
  <c r="AG88" i="13"/>
  <c r="AG92" i="13"/>
  <c r="AA104" i="13" s="1"/>
  <c r="AG84" i="13"/>
  <c r="AG90" i="13"/>
  <c r="AG83" i="13"/>
  <c r="AG86" i="13"/>
  <c r="AG87" i="13"/>
  <c r="AG91" i="13"/>
  <c r="AG89" i="13"/>
  <c r="I83" i="13"/>
  <c r="I87" i="13"/>
  <c r="I86" i="13"/>
  <c r="I92" i="13"/>
  <c r="I85" i="13"/>
  <c r="I89" i="13"/>
  <c r="I91" i="13"/>
  <c r="I82" i="13"/>
  <c r="I90" i="13"/>
  <c r="I84" i="13"/>
  <c r="I88" i="13"/>
  <c r="O113" i="13"/>
  <c r="O111" i="13"/>
  <c r="O115" i="13"/>
  <c r="O116" i="13"/>
  <c r="O106" i="13"/>
  <c r="O107" i="13"/>
  <c r="O108" i="13"/>
  <c r="O109" i="13"/>
  <c r="O114" i="13"/>
  <c r="O110" i="13"/>
  <c r="O112" i="13"/>
  <c r="R115" i="13"/>
  <c r="R114" i="13"/>
  <c r="R116" i="13"/>
  <c r="R108" i="13"/>
  <c r="AG122" i="13"/>
  <c r="AQ91" i="13"/>
  <c r="AQ92" i="13"/>
  <c r="AQ90" i="13"/>
  <c r="AQ83" i="13"/>
  <c r="AQ86" i="13"/>
  <c r="AQ82" i="13"/>
  <c r="AQ88" i="13"/>
  <c r="AQ85" i="13"/>
  <c r="AQ89" i="13"/>
  <c r="AQ84" i="13"/>
  <c r="AQ87" i="13"/>
  <c r="I96" i="13"/>
  <c r="I95" i="13"/>
  <c r="I97" i="13"/>
  <c r="I104" i="13"/>
  <c r="I102" i="13"/>
  <c r="I94" i="13"/>
  <c r="I103" i="13" s="1"/>
  <c r="I100" i="13"/>
  <c r="I101" i="13"/>
  <c r="I99" i="13"/>
  <c r="I98" i="13"/>
  <c r="AA64" i="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R40" i="1"/>
  <c r="R41" i="1" s="1"/>
  <c r="R42" i="1" s="1"/>
  <c r="R43" i="1" s="1"/>
  <c r="R44" i="1" s="1"/>
  <c r="R45" i="1" s="1"/>
  <c r="R46" i="1" s="1"/>
  <c r="R47" i="1" s="1"/>
  <c r="R48" i="1" s="1"/>
  <c r="R49" i="1" s="1"/>
  <c r="R50" i="1" s="1"/>
  <c r="O64" i="1"/>
  <c r="O65" i="1" s="1"/>
  <c r="O66" i="1" s="1"/>
  <c r="O67" i="1" s="1"/>
  <c r="O68" i="1" s="1"/>
  <c r="O69" i="1" s="1"/>
  <c r="O70" i="1" s="1"/>
  <c r="O71" i="1" s="1"/>
  <c r="O72" i="1" s="1"/>
  <c r="O73" i="1" s="1"/>
  <c r="O74" i="1" s="1"/>
  <c r="O75" i="1" s="1"/>
  <c r="O76" i="1" s="1"/>
  <c r="O77" i="1" s="1"/>
  <c r="O78" i="1" s="1"/>
  <c r="O79" i="1" s="1"/>
  <c r="O80" i="1" s="1"/>
  <c r="O81" i="1" s="1"/>
  <c r="O82" i="1" s="1"/>
  <c r="O83" i="1" s="1"/>
  <c r="O84" i="1" s="1"/>
  <c r="O85" i="1" s="1"/>
  <c r="O86" i="1" s="1"/>
  <c r="O87" i="1" s="1"/>
  <c r="O88" i="1" s="1"/>
  <c r="O89" i="1" s="1"/>
  <c r="O90" i="1" s="1"/>
  <c r="O91" i="1" s="1"/>
  <c r="O92" i="1" s="1"/>
  <c r="O93" i="1" s="1"/>
  <c r="O94" i="1" s="1"/>
  <c r="O95" i="1" s="1"/>
  <c r="O96" i="1" s="1"/>
  <c r="O97" i="1" s="1"/>
  <c r="R58" i="1"/>
  <c r="R59" i="1" s="1"/>
  <c r="R60" i="1" s="1"/>
  <c r="R61" i="1" s="1"/>
  <c r="R62" i="1" s="1"/>
  <c r="R63" i="13"/>
  <c r="R66" i="13"/>
  <c r="R67" i="13"/>
  <c r="R60" i="13"/>
  <c r="R59" i="13"/>
  <c r="R68" i="13"/>
  <c r="R65" i="13"/>
  <c r="R61" i="13"/>
  <c r="R64" i="13"/>
  <c r="R58" i="13"/>
  <c r="R62" i="13"/>
  <c r="O58" i="13"/>
  <c r="O67" i="13"/>
  <c r="O62" i="13"/>
  <c r="O59" i="13"/>
  <c r="O60" i="13"/>
  <c r="O63" i="13"/>
  <c r="O61" i="13"/>
  <c r="O64" i="13"/>
  <c r="O68" i="13"/>
  <c r="O66" i="13"/>
  <c r="O65" i="13"/>
  <c r="I58" i="13"/>
  <c r="I62" i="13"/>
  <c r="I64" i="13"/>
  <c r="I63" i="13"/>
  <c r="I67" i="13"/>
  <c r="I60" i="13"/>
  <c r="I66" i="13"/>
  <c r="I59" i="13"/>
  <c r="I65" i="13"/>
  <c r="I61" i="13"/>
  <c r="I68" i="13"/>
  <c r="R82" i="13"/>
  <c r="R85" i="13"/>
  <c r="R88" i="13"/>
  <c r="R92" i="13"/>
  <c r="R83" i="13"/>
  <c r="R89" i="13"/>
  <c r="R84" i="13"/>
  <c r="R87" i="13"/>
  <c r="R90" i="13"/>
  <c r="R86" i="13"/>
  <c r="R91" i="13"/>
  <c r="AQ103" i="13"/>
  <c r="AQ96" i="13"/>
  <c r="AQ99" i="13"/>
  <c r="AQ98" i="13"/>
  <c r="AQ94" i="13"/>
  <c r="AQ102" i="13"/>
  <c r="AQ101" i="13"/>
  <c r="AQ95" i="13"/>
  <c r="AQ104" i="13"/>
  <c r="AQ97" i="13"/>
  <c r="AQ100" i="13"/>
  <c r="BL94" i="13"/>
  <c r="BL95" i="13"/>
  <c r="BL98" i="13"/>
  <c r="BL104" i="13"/>
  <c r="BL97" i="13"/>
  <c r="BL103" i="13"/>
  <c r="BL100" i="13"/>
  <c r="BL99" i="13"/>
  <c r="BL102" i="13"/>
  <c r="BL96" i="13"/>
  <c r="BL101" i="13"/>
  <c r="U41" i="1"/>
  <c r="U42" i="1" s="1"/>
  <c r="U43" i="1" s="1"/>
  <c r="U44" i="1" s="1"/>
  <c r="U45" i="1" s="1"/>
  <c r="U46" i="1" s="1"/>
  <c r="U47" i="1" s="1"/>
  <c r="U48" i="1" s="1"/>
  <c r="U49" i="1" s="1"/>
  <c r="U50" i="1" s="1"/>
  <c r="AJ61" i="13"/>
  <c r="AJ60" i="13"/>
  <c r="AJ65" i="13"/>
  <c r="AJ68" i="13"/>
  <c r="AJ63" i="13"/>
  <c r="AJ59" i="13"/>
  <c r="AJ66" i="13"/>
  <c r="AJ67" i="13"/>
  <c r="AJ58" i="13"/>
  <c r="AJ62" i="13"/>
  <c r="AJ64" i="13"/>
  <c r="AG60" i="13"/>
  <c r="AG61" i="13"/>
  <c r="AG68" i="13"/>
  <c r="AG59" i="13"/>
  <c r="AG66" i="13"/>
  <c r="AG62" i="13"/>
  <c r="AG58" i="13"/>
  <c r="AG65" i="13"/>
  <c r="AG63" i="13"/>
  <c r="AG64" i="13"/>
  <c r="AG67" i="13"/>
  <c r="L58" i="13"/>
  <c r="L61" i="13"/>
  <c r="L64" i="13"/>
  <c r="L68" i="13"/>
  <c r="L63" i="13"/>
  <c r="L66" i="13"/>
  <c r="L62" i="13"/>
  <c r="L65" i="13"/>
  <c r="L67" i="13"/>
  <c r="L60" i="13"/>
  <c r="L59" i="13"/>
  <c r="U64" i="1"/>
  <c r="U65" i="1" s="1"/>
  <c r="U66" i="1" s="1"/>
  <c r="U67" i="1" s="1"/>
  <c r="U68" i="1" s="1"/>
  <c r="U69" i="1" s="1"/>
  <c r="U70" i="1" s="1"/>
  <c r="U71" i="1" s="1"/>
  <c r="U72" i="1" s="1"/>
  <c r="U73" i="1" s="1"/>
  <c r="U74" i="1" s="1"/>
  <c r="U75" i="1" s="1"/>
  <c r="U76" i="1" s="1"/>
  <c r="U77" i="1" s="1"/>
  <c r="U78" i="1" s="1"/>
  <c r="U79" i="1" s="1"/>
  <c r="U80" i="1" s="1"/>
  <c r="U81" i="1" s="1"/>
  <c r="U82" i="1" s="1"/>
  <c r="U83" i="1" s="1"/>
  <c r="U84" i="1" s="1"/>
  <c r="U85" i="1" s="1"/>
  <c r="U86" i="1" s="1"/>
  <c r="U87" i="1" s="1"/>
  <c r="U88" i="1" s="1"/>
  <c r="U89" i="1" s="1"/>
  <c r="U90" i="1" s="1"/>
  <c r="U91" i="1" s="1"/>
  <c r="U92" i="1" s="1"/>
  <c r="U93" i="1" s="1"/>
  <c r="U94" i="1" s="1"/>
  <c r="U95" i="1" s="1"/>
  <c r="U96" i="1" s="1"/>
  <c r="U97" i="1" s="1"/>
  <c r="R64" i="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101" i="13"/>
  <c r="R103" i="13"/>
  <c r="R99" i="13"/>
  <c r="R98" i="13"/>
  <c r="R102" i="13"/>
  <c r="R94" i="13"/>
  <c r="R104" i="13"/>
  <c r="R97" i="13"/>
  <c r="R95" i="13"/>
  <c r="R96" i="13"/>
  <c r="R100" i="13"/>
  <c r="R79" i="13"/>
  <c r="R75" i="13"/>
  <c r="R74" i="13"/>
  <c r="R73" i="13"/>
  <c r="R72" i="13"/>
  <c r="R71" i="13"/>
  <c r="R78" i="13"/>
  <c r="R77" i="13"/>
  <c r="R70" i="13"/>
  <c r="R80" i="13"/>
  <c r="R76" i="13"/>
  <c r="AA40" i="1"/>
  <c r="AA41" i="1" s="1"/>
  <c r="AA42" i="1" s="1"/>
  <c r="AA43" i="1" s="1"/>
  <c r="AA44" i="1" s="1"/>
  <c r="AA45" i="1" s="1"/>
  <c r="AA46" i="1" s="1"/>
  <c r="AA47" i="1" s="1"/>
  <c r="AA48" i="1" s="1"/>
  <c r="AA49" i="1" s="1"/>
  <c r="AA50" i="1" s="1"/>
  <c r="I40" i="1"/>
  <c r="I41" i="1" s="1"/>
  <c r="I42" i="1" s="1"/>
  <c r="I43" i="1" s="1"/>
  <c r="I44" i="1" s="1"/>
  <c r="I45" i="1" s="1"/>
  <c r="I46" i="1" s="1"/>
  <c r="I47" i="1" s="1"/>
  <c r="I48" i="1" s="1"/>
  <c r="I49" i="1" s="1"/>
  <c r="I50" i="1" s="1"/>
  <c r="AG147" i="13" l="1"/>
  <c r="AG148" i="13" s="1"/>
  <c r="AG149" i="13" s="1"/>
  <c r="AG150" i="13" s="1"/>
  <c r="AG151" i="13" s="1"/>
  <c r="AG152" i="13" s="1"/>
  <c r="AG153" i="13" s="1"/>
  <c r="L157" i="13"/>
  <c r="AG87" i="1"/>
  <c r="AG88" i="1" s="1"/>
  <c r="L148" i="13"/>
  <c r="AL22" i="13"/>
  <c r="AL23" i="13" s="1"/>
  <c r="AL24" i="13" s="1"/>
  <c r="AL25" i="13" s="1"/>
  <c r="AL26" i="13" s="1"/>
  <c r="AL27" i="13" s="1"/>
  <c r="AL28" i="13" s="1"/>
  <c r="AL29" i="13" s="1"/>
  <c r="AL30" i="13" s="1"/>
  <c r="AL31" i="13" s="1"/>
  <c r="AL32" i="13" s="1"/>
  <c r="AL33" i="13" s="1"/>
  <c r="AL34" i="13" s="1"/>
  <c r="AL35" i="13" s="1"/>
  <c r="AL36" i="13" s="1"/>
  <c r="AL37" i="13" s="1"/>
  <c r="AL38" i="13" s="1"/>
  <c r="AL39" i="13" s="1"/>
  <c r="AL40" i="13" s="1"/>
  <c r="AL41" i="13" s="1"/>
  <c r="AL42" i="13" s="1"/>
  <c r="AL43" i="13" s="1"/>
  <c r="AL44" i="13" s="1"/>
  <c r="AL45" i="13" s="1"/>
  <c r="AL46" i="13" s="1"/>
  <c r="AL47" i="13" s="1"/>
  <c r="AL48" i="13" s="1"/>
  <c r="AL49" i="13" s="1"/>
  <c r="AL50" i="13" s="1"/>
  <c r="AL51" i="13" s="1"/>
  <c r="AL52" i="13" s="1"/>
  <c r="AL53" i="13" s="1"/>
  <c r="AL54" i="13" s="1"/>
  <c r="AL55" i="13" s="1"/>
  <c r="AL56" i="13" s="1"/>
  <c r="AL57" i="13" s="1"/>
  <c r="AL58" i="13" s="1"/>
  <c r="AL59" i="13" s="1"/>
  <c r="AL60" i="13" s="1"/>
  <c r="AL61" i="13" s="1"/>
  <c r="AL62" i="13" s="1"/>
  <c r="AL63" i="13" s="1"/>
  <c r="AL64" i="13" s="1"/>
  <c r="AL65" i="13" s="1"/>
  <c r="AL66" i="13" s="1"/>
  <c r="AL67" i="13" s="1"/>
  <c r="AL68" i="13" s="1"/>
  <c r="AL69" i="13" s="1"/>
  <c r="AL70" i="13" s="1"/>
  <c r="AL71" i="13" s="1"/>
  <c r="AL72" i="13" s="1"/>
  <c r="AL73" i="13" s="1"/>
  <c r="AL74" i="13" s="1"/>
  <c r="AL75" i="13" s="1"/>
  <c r="AL76" i="13" s="1"/>
  <c r="AL77" i="13" s="1"/>
  <c r="AL78" i="13" s="1"/>
  <c r="AL79" i="13" s="1"/>
  <c r="AL80" i="13" s="1"/>
  <c r="AL81" i="13" s="1"/>
  <c r="AL82" i="13" s="1"/>
  <c r="AL83" i="13" s="1"/>
  <c r="AL84" i="13" s="1"/>
  <c r="AL85" i="13" s="1"/>
  <c r="AL86" i="13" s="1"/>
  <c r="AL87" i="13" s="1"/>
  <c r="AL88" i="13" s="1"/>
  <c r="AL89" i="13" s="1"/>
  <c r="AL90" i="13" s="1"/>
  <c r="AL91" i="13" s="1"/>
  <c r="AL92" i="13" s="1"/>
  <c r="AL93" i="13" s="1"/>
  <c r="AL94" i="13" s="1"/>
  <c r="AL95" i="13" s="1"/>
  <c r="AL96" i="13" s="1"/>
  <c r="AL97" i="13" s="1"/>
  <c r="AL98" i="13" s="1"/>
  <c r="AL99" i="13" s="1"/>
  <c r="AL100" i="13" s="1"/>
  <c r="AL101" i="13" s="1"/>
  <c r="AL102" i="13" s="1"/>
  <c r="AL103" i="13" s="1"/>
  <c r="AL104" i="13" s="1"/>
  <c r="AL105" i="13" s="1"/>
  <c r="AL106" i="13" s="1"/>
  <c r="AL107" i="13" s="1"/>
  <c r="AL108" i="13" s="1"/>
  <c r="AL109" i="13" s="1"/>
  <c r="AL110" i="13" s="1"/>
  <c r="AL111" i="13" s="1"/>
  <c r="AL112" i="13" s="1"/>
  <c r="AL113" i="13" s="1"/>
  <c r="AL114" i="13" s="1"/>
  <c r="AL115" i="13" s="1"/>
  <c r="AL116" i="13" s="1"/>
  <c r="AL117" i="13" s="1"/>
  <c r="AL118" i="13" s="1"/>
  <c r="AL119" i="13" s="1"/>
  <c r="AL120" i="13" s="1"/>
  <c r="AL121" i="13" s="1"/>
  <c r="AL122" i="13" s="1"/>
  <c r="AL123" i="13" s="1"/>
  <c r="AL124" i="13" s="1"/>
  <c r="AL125" i="13" s="1"/>
  <c r="AL126" i="13" s="1"/>
  <c r="AL127" i="13" s="1"/>
  <c r="AL128" i="13" s="1"/>
  <c r="AL129" i="13" s="1"/>
  <c r="L138" i="13"/>
  <c r="L137" i="13"/>
  <c r="L139" i="13" s="1"/>
  <c r="L140" i="13" s="1"/>
  <c r="L141" i="13" s="1"/>
  <c r="L142" i="13" s="1"/>
  <c r="AQ138" i="13"/>
  <c r="AQ137" i="13"/>
  <c r="AQ139" i="13" s="1"/>
  <c r="AQ140" i="13" s="1"/>
  <c r="AQ141" i="13" s="1"/>
  <c r="AQ142" i="13" s="1"/>
  <c r="AQ75" i="13"/>
  <c r="AQ74" i="13"/>
  <c r="AQ72" i="13"/>
  <c r="AQ80" i="13"/>
  <c r="AQ76" i="13"/>
  <c r="AQ70" i="13"/>
  <c r="AQ71" i="13"/>
  <c r="AQ77" i="13"/>
  <c r="AQ78" i="13"/>
  <c r="AQ79" i="13"/>
  <c r="AQ73" i="13"/>
  <c r="BI103" i="13"/>
  <c r="BI94" i="13"/>
  <c r="BI100" i="13"/>
  <c r="BI99" i="13"/>
  <c r="BI104" i="13"/>
  <c r="BI96" i="13"/>
  <c r="BI97" i="13"/>
  <c r="BI101" i="13"/>
  <c r="BI105" i="13"/>
  <c r="BI102" i="13"/>
  <c r="BI95" i="13"/>
  <c r="BI98" i="13"/>
  <c r="BF89" i="13"/>
  <c r="BF86" i="13"/>
  <c r="BF91" i="13"/>
  <c r="BF88" i="13"/>
  <c r="BF90" i="13"/>
  <c r="BF82" i="13"/>
  <c r="BF92" i="13"/>
  <c r="BF84" i="13"/>
  <c r="BF83" i="13"/>
  <c r="BF87" i="13"/>
  <c r="BF85" i="13"/>
  <c r="AM9" i="13"/>
  <c r="AG123" i="13"/>
  <c r="L149" i="13" l="1"/>
  <c r="L158" i="13"/>
  <c r="AG154" i="13"/>
  <c r="AL130" i="13"/>
  <c r="AL131" i="13"/>
  <c r="AL132" i="13" s="1"/>
  <c r="AL133" i="13" s="1"/>
  <c r="AL134" i="13" s="1"/>
  <c r="AL135" i="13" s="1"/>
  <c r="AL136" i="13" s="1"/>
  <c r="BF100" i="13"/>
  <c r="BF102" i="13"/>
  <c r="BF103" i="13"/>
  <c r="BF101" i="13"/>
  <c r="BF104" i="13"/>
  <c r="BF99" i="13"/>
  <c r="BF97" i="13"/>
  <c r="BF98" i="13"/>
  <c r="BF94" i="13"/>
  <c r="BF95" i="13"/>
  <c r="BF96" i="13"/>
  <c r="BI117" i="13"/>
  <c r="BI129" i="13" s="1"/>
  <c r="BI112" i="13"/>
  <c r="BI108" i="13"/>
  <c r="BI116" i="13"/>
  <c r="BI107" i="13"/>
  <c r="BI110" i="13"/>
  <c r="BI111" i="13"/>
  <c r="BI115" i="13"/>
  <c r="BI109" i="13"/>
  <c r="BI106" i="13"/>
  <c r="BI113" i="13"/>
  <c r="BI114" i="13"/>
  <c r="AG124" i="13"/>
  <c r="AG89" i="1"/>
  <c r="AM10" i="13"/>
  <c r="L150" i="13" l="1"/>
  <c r="L159" i="13"/>
  <c r="AL138" i="13"/>
  <c r="AL139" i="13" s="1"/>
  <c r="AL140" i="13" s="1"/>
  <c r="AL141" i="13" s="1"/>
  <c r="AL142" i="13" s="1"/>
  <c r="AL143" i="13" s="1"/>
  <c r="AL144" i="13" s="1"/>
  <c r="AL145" i="13" s="1"/>
  <c r="AL146" i="13" s="1"/>
  <c r="AL147" i="13" s="1"/>
  <c r="AL148" i="13" s="1"/>
  <c r="AL149" i="13" s="1"/>
  <c r="AL150" i="13" s="1"/>
  <c r="AL151" i="13" s="1"/>
  <c r="AL152" i="13" s="1"/>
  <c r="AL153" i="13" s="1"/>
  <c r="AL154" i="13" s="1"/>
  <c r="AL155" i="13" s="1"/>
  <c r="AL156" i="13" s="1"/>
  <c r="AL157" i="13" s="1"/>
  <c r="AL158" i="13" s="1"/>
  <c r="AL159" i="13" s="1"/>
  <c r="AL160" i="13" s="1"/>
  <c r="AL161" i="13" s="1"/>
  <c r="AL137" i="13"/>
  <c r="BI118" i="13"/>
  <c r="BI119" i="13" s="1"/>
  <c r="BI120" i="13" s="1"/>
  <c r="BI121" i="13" s="1"/>
  <c r="BI122" i="13" s="1"/>
  <c r="BI123" i="13" s="1"/>
  <c r="BI124" i="13" s="1"/>
  <c r="BI125" i="13" s="1"/>
  <c r="BI126" i="13" s="1"/>
  <c r="BI127" i="13" s="1"/>
  <c r="BI128" i="13" s="1"/>
  <c r="BI130" i="13"/>
  <c r="BI131" i="13" s="1"/>
  <c r="BF109" i="13"/>
  <c r="BF115" i="13"/>
  <c r="BF110" i="13"/>
  <c r="BF111" i="13"/>
  <c r="BF114" i="13"/>
  <c r="BF106" i="13"/>
  <c r="BF107" i="13"/>
  <c r="BF116" i="13"/>
  <c r="BF108" i="13"/>
  <c r="BF112" i="13"/>
  <c r="BF113" i="13"/>
  <c r="AG90" i="1"/>
  <c r="AM11" i="13"/>
  <c r="AG125" i="13"/>
  <c r="L151" i="13" l="1"/>
  <c r="L160" i="13"/>
  <c r="AS129" i="13"/>
  <c r="AS130" i="13" s="1"/>
  <c r="BI132" i="13"/>
  <c r="BI133" i="13" s="1"/>
  <c r="BI134" i="13" s="1"/>
  <c r="BI135" i="13" s="1"/>
  <c r="BI136" i="13" s="1"/>
  <c r="BI137" i="13" s="1"/>
  <c r="BH138" i="13" s="1"/>
  <c r="BI179" i="13" s="1"/>
  <c r="BI180" i="13" s="1"/>
  <c r="BI181" i="13" s="1"/>
  <c r="BI182" i="13" s="1"/>
  <c r="BI183" i="13" s="1"/>
  <c r="BI184" i="13" s="1"/>
  <c r="BI185" i="13" s="1"/>
  <c r="BI186" i="13" s="1"/>
  <c r="BI187" i="13" s="1"/>
  <c r="BI188" i="13" s="1"/>
  <c r="BI189" i="13" s="1"/>
  <c r="BI190" i="13" s="1"/>
  <c r="BF118" i="13"/>
  <c r="BF119" i="13" s="1"/>
  <c r="BF120" i="13" s="1"/>
  <c r="AS120" i="13" s="1"/>
  <c r="AG126" i="13"/>
  <c r="AG91" i="1"/>
  <c r="AM12" i="13"/>
  <c r="BI155" i="13" l="1"/>
  <c r="BI156" i="13" s="1"/>
  <c r="BI157" i="13" s="1"/>
  <c r="BI158" i="13" s="1"/>
  <c r="BI159" i="13" s="1"/>
  <c r="BI160" i="13" s="1"/>
  <c r="BI161" i="13" s="1"/>
  <c r="BI162" i="13" s="1"/>
  <c r="BI163" i="13" s="1"/>
  <c r="BI164" i="13" s="1"/>
  <c r="BI165" i="13" s="1"/>
  <c r="BI166" i="13" s="1"/>
  <c r="BI143" i="13"/>
  <c r="BI144" i="13" s="1"/>
  <c r="BI138" i="13"/>
  <c r="BI167" i="13"/>
  <c r="BI168" i="13" s="1"/>
  <c r="BI169" i="13" s="1"/>
  <c r="BI170" i="13" s="1"/>
  <c r="BI171" i="13" s="1"/>
  <c r="BI172" i="13" s="1"/>
  <c r="BI173" i="13" s="1"/>
  <c r="BI174" i="13" s="1"/>
  <c r="BI175" i="13" s="1"/>
  <c r="BI176" i="13" s="1"/>
  <c r="BI177" i="13" s="1"/>
  <c r="BI178" i="13" s="1"/>
  <c r="L152" i="13"/>
  <c r="BF130" i="13"/>
  <c r="BF131" i="13" s="1"/>
  <c r="AS131" i="13" s="1"/>
  <c r="AS132" i="13" s="1"/>
  <c r="AS133" i="13" s="1"/>
  <c r="AS134" i="13" s="1"/>
  <c r="AS135" i="13" s="1"/>
  <c r="AS136" i="13" s="1"/>
  <c r="AS138" i="13" s="1"/>
  <c r="L161" i="13"/>
  <c r="BI145" i="13"/>
  <c r="BI146" i="13" s="1"/>
  <c r="BI147" i="13" s="1"/>
  <c r="BI148" i="13" s="1"/>
  <c r="BI149" i="13" s="1"/>
  <c r="BI150" i="13" s="1"/>
  <c r="BI151" i="13" s="1"/>
  <c r="BI152" i="13" s="1"/>
  <c r="BI153" i="13" s="1"/>
  <c r="BI154" i="13" s="1"/>
  <c r="BF121" i="13"/>
  <c r="AM13" i="13"/>
  <c r="AG92" i="1"/>
  <c r="AG127" i="13"/>
  <c r="BI139" i="13" l="1"/>
  <c r="BI140" i="13"/>
  <c r="BI142" i="13"/>
  <c r="BI141" i="13"/>
  <c r="BF132" i="13"/>
  <c r="BF133" i="13" s="1"/>
  <c r="BF134" i="13" s="1"/>
  <c r="BF135" i="13" s="1"/>
  <c r="BF136" i="13" s="1"/>
  <c r="L153" i="13"/>
  <c r="AS137" i="13"/>
  <c r="AS139" i="13" s="1"/>
  <c r="AS140" i="13" s="1"/>
  <c r="AS141" i="13" s="1"/>
  <c r="AS142" i="13" s="1"/>
  <c r="BF137" i="13"/>
  <c r="BE138" i="13" s="1"/>
  <c r="BF122" i="13"/>
  <c r="AS121" i="13"/>
  <c r="AG93" i="1"/>
  <c r="AM14" i="13"/>
  <c r="AG128" i="13"/>
  <c r="BF143" i="13" l="1"/>
  <c r="BF167" i="13"/>
  <c r="AS167" i="13" s="1"/>
  <c r="BF155" i="13"/>
  <c r="AS155" i="13" s="1"/>
  <c r="BF138" i="13"/>
  <c r="L154" i="13"/>
  <c r="BF123" i="13"/>
  <c r="AS122" i="13"/>
  <c r="AG94" i="1"/>
  <c r="AM15" i="13"/>
  <c r="BF180" i="13" l="1"/>
  <c r="BF181" i="13" s="1"/>
  <c r="BF182" i="13" s="1"/>
  <c r="BF183" i="13" s="1"/>
  <c r="BF184" i="13" s="1"/>
  <c r="BF185" i="13" s="1"/>
  <c r="BF186" i="13" s="1"/>
  <c r="BF187" i="13" s="1"/>
  <c r="BF188" i="13" s="1"/>
  <c r="BF189" i="13" s="1"/>
  <c r="BF190" i="13" s="1"/>
  <c r="AS180" i="13"/>
  <c r="AS181" i="13" s="1"/>
  <c r="AS182" i="13" s="1"/>
  <c r="AS183" i="13" s="1"/>
  <c r="AS184" i="13" s="1"/>
  <c r="AS185" i="13" s="1"/>
  <c r="AS186" i="13" s="1"/>
  <c r="AS187" i="13" s="1"/>
  <c r="AS188" i="13" s="1"/>
  <c r="AS189" i="13" s="1"/>
  <c r="AS190" i="13" s="1"/>
  <c r="BF144" i="13"/>
  <c r="BF145" i="13" s="1"/>
  <c r="BF146" i="13" s="1"/>
  <c r="BF147" i="13" s="1"/>
  <c r="BF148" i="13" s="1"/>
  <c r="AS143" i="13"/>
  <c r="AS144" i="13" s="1"/>
  <c r="AS145" i="13" s="1"/>
  <c r="AS146" i="13" s="1"/>
  <c r="AS147" i="13" s="1"/>
  <c r="BF168" i="13"/>
  <c r="BF169" i="13" s="1"/>
  <c r="BF170" i="13" s="1"/>
  <c r="BF171" i="13" s="1"/>
  <c r="BF172" i="13" s="1"/>
  <c r="BF173" i="13" s="1"/>
  <c r="BF174" i="13" s="1"/>
  <c r="BF175" i="13" s="1"/>
  <c r="BF176" i="13" s="1"/>
  <c r="BF177" i="13" s="1"/>
  <c r="BF178" i="13" s="1"/>
  <c r="AS168" i="13"/>
  <c r="AS169" i="13" s="1"/>
  <c r="AS170" i="13" s="1"/>
  <c r="AS171" i="13" s="1"/>
  <c r="AS172" i="13" s="1"/>
  <c r="AS173" i="13" s="1"/>
  <c r="AS174" i="13" s="1"/>
  <c r="AS175" i="13" s="1"/>
  <c r="AS176" i="13" s="1"/>
  <c r="AS177" i="13" s="1"/>
  <c r="AS178" i="13" s="1"/>
  <c r="BF141" i="13"/>
  <c r="BF142" i="13"/>
  <c r="BF140" i="13"/>
  <c r="BF139" i="13"/>
  <c r="BF156" i="13"/>
  <c r="BF124" i="13"/>
  <c r="AS123" i="13"/>
  <c r="AG95" i="1"/>
  <c r="AM16" i="13"/>
  <c r="BF157" i="13" l="1"/>
  <c r="AS156" i="13"/>
  <c r="BF149" i="13"/>
  <c r="AS148" i="13"/>
  <c r="BF125" i="13"/>
  <c r="AS124" i="13"/>
  <c r="AM17" i="13"/>
  <c r="AG96" i="1"/>
  <c r="BF150" i="13" l="1"/>
  <c r="AS149" i="13"/>
  <c r="BF158" i="13"/>
  <c r="AS157" i="13"/>
  <c r="BF126" i="13"/>
  <c r="AS125" i="13"/>
  <c r="AM18" i="13"/>
  <c r="AG97" i="1"/>
  <c r="BF159" i="13" l="1"/>
  <c r="AS158" i="13"/>
  <c r="BF151" i="13"/>
  <c r="AS150" i="13"/>
  <c r="BF127" i="13"/>
  <c r="AS126" i="13"/>
  <c r="AM19" i="13"/>
  <c r="AM20" i="13" s="1"/>
  <c r="AM21" i="13" s="1"/>
  <c r="AM22" i="13" s="1"/>
  <c r="AM23" i="13" s="1"/>
  <c r="AM24" i="13" s="1"/>
  <c r="AM25" i="13" s="1"/>
  <c r="AM26" i="13" s="1"/>
  <c r="AM27" i="13" s="1"/>
  <c r="AM28" i="13" s="1"/>
  <c r="AM29" i="13" s="1"/>
  <c r="AM30" i="13" s="1"/>
  <c r="AM31" i="13" s="1"/>
  <c r="AM32" i="13" s="1"/>
  <c r="AM33" i="13" s="1"/>
  <c r="AM34" i="13" s="1"/>
  <c r="AM35" i="13" s="1"/>
  <c r="AM36" i="13" s="1"/>
  <c r="AM37" i="13" s="1"/>
  <c r="AM38" i="13" s="1"/>
  <c r="AM39" i="13" s="1"/>
  <c r="AM40" i="13" s="1"/>
  <c r="AM41" i="13" s="1"/>
  <c r="AM42" i="13" s="1"/>
  <c r="AM43" i="13" s="1"/>
  <c r="AM44" i="13" s="1"/>
  <c r="AM45" i="13" s="1"/>
  <c r="AM46" i="13" s="1"/>
  <c r="AM47" i="13" s="1"/>
  <c r="AM48" i="13" s="1"/>
  <c r="AM49" i="13" s="1"/>
  <c r="AM50" i="13" s="1"/>
  <c r="AM51" i="13" s="1"/>
  <c r="AM52" i="13" s="1"/>
  <c r="AM53" i="13" s="1"/>
  <c r="AM54" i="13" s="1"/>
  <c r="AM55" i="13" s="1"/>
  <c r="AM56" i="13" s="1"/>
  <c r="AM57" i="13" s="1"/>
  <c r="AM58" i="13" s="1"/>
  <c r="AM59" i="13" s="1"/>
  <c r="AM60" i="13" s="1"/>
  <c r="AM61" i="13" s="1"/>
  <c r="AM62" i="13" s="1"/>
  <c r="AM63" i="13" s="1"/>
  <c r="AM64" i="13" s="1"/>
  <c r="AM65" i="13" s="1"/>
  <c r="AM66" i="13" s="1"/>
  <c r="AM67" i="13" s="1"/>
  <c r="AM68" i="13" s="1"/>
  <c r="AM69" i="13" s="1"/>
  <c r="AM70" i="13" s="1"/>
  <c r="AM71" i="13" s="1"/>
  <c r="AM72" i="13" s="1"/>
  <c r="AM73" i="13" s="1"/>
  <c r="AM74" i="13" s="1"/>
  <c r="AM75" i="13" s="1"/>
  <c r="AM76" i="13" s="1"/>
  <c r="AM77" i="13" s="1"/>
  <c r="AM78" i="13" s="1"/>
  <c r="AM79" i="13" s="1"/>
  <c r="AM80" i="13" s="1"/>
  <c r="AM81" i="13" s="1"/>
  <c r="AM82" i="13" s="1"/>
  <c r="AM83" i="13" s="1"/>
  <c r="AM84" i="13" s="1"/>
  <c r="AM85" i="13" s="1"/>
  <c r="AM86" i="13" s="1"/>
  <c r="AM87" i="13" s="1"/>
  <c r="AM88" i="13" s="1"/>
  <c r="AM89" i="13" s="1"/>
  <c r="AM90" i="13" s="1"/>
  <c r="AM91" i="13" s="1"/>
  <c r="AM92" i="13" s="1"/>
  <c r="AM93" i="13" s="1"/>
  <c r="AM94" i="13" s="1"/>
  <c r="AM95" i="13" s="1"/>
  <c r="AM96" i="13" s="1"/>
  <c r="AM97" i="13" s="1"/>
  <c r="AM98" i="13" s="1"/>
  <c r="AM99" i="13" s="1"/>
  <c r="AM100" i="13" s="1"/>
  <c r="AM101" i="13" s="1"/>
  <c r="AM102" i="13" s="1"/>
  <c r="AM103" i="13" s="1"/>
  <c r="AM104" i="13" s="1"/>
  <c r="AM105" i="13" s="1"/>
  <c r="AM106" i="13" s="1"/>
  <c r="AM107" i="13" s="1"/>
  <c r="AM108" i="13" s="1"/>
  <c r="AM109" i="13" s="1"/>
  <c r="AM110" i="13" s="1"/>
  <c r="AM111" i="13" s="1"/>
  <c r="AM112" i="13" s="1"/>
  <c r="AM113" i="13" s="1"/>
  <c r="AM114" i="13" s="1"/>
  <c r="AM115" i="13" s="1"/>
  <c r="AM116" i="13" s="1"/>
  <c r="AM117" i="13" s="1"/>
  <c r="AM118" i="13" s="1"/>
  <c r="AM119" i="13" s="1"/>
  <c r="AM120" i="13" s="1"/>
  <c r="AM121" i="13" s="1"/>
  <c r="AM122" i="13" s="1"/>
  <c r="AM123" i="13" s="1"/>
  <c r="AM124" i="13" s="1"/>
  <c r="AM125" i="13" s="1"/>
  <c r="AM126" i="13" s="1"/>
  <c r="AM127" i="13" s="1"/>
  <c r="BF160" i="13" l="1"/>
  <c r="AS159" i="13"/>
  <c r="BF152" i="13"/>
  <c r="AS151" i="13"/>
  <c r="AM128" i="13"/>
  <c r="AM129" i="13" s="1"/>
  <c r="BF128" i="13"/>
  <c r="AS128" i="13" s="1"/>
  <c r="AS127" i="13"/>
  <c r="BF161" i="13" l="1"/>
  <c r="AS160" i="13"/>
  <c r="BF153" i="13"/>
  <c r="AS152" i="13"/>
  <c r="AM131" i="13"/>
  <c r="AM132" i="13" s="1"/>
  <c r="AM133" i="13" s="1"/>
  <c r="AM134" i="13" s="1"/>
  <c r="AM135" i="13" s="1"/>
  <c r="AM136" i="13" s="1"/>
  <c r="AM137" i="13" s="1"/>
  <c r="AM130" i="13"/>
  <c r="BF162" i="13" l="1"/>
  <c r="AS162" i="13" s="1"/>
  <c r="AS161" i="13"/>
  <c r="BF154" i="13"/>
  <c r="AS154" i="13" s="1"/>
  <c r="AS153" i="13"/>
  <c r="AM138" i="13"/>
  <c r="AM139" i="13" s="1"/>
  <c r="AM140" i="13" s="1"/>
  <c r="AM141" i="13" s="1"/>
  <c r="AM142" i="13" s="1"/>
  <c r="AM143" i="13" s="1"/>
  <c r="AM144" i="13" s="1"/>
  <c r="AM145" i="13" s="1"/>
  <c r="AM146" i="13" s="1"/>
  <c r="AM147" i="13" s="1"/>
  <c r="AM148" i="13" s="1"/>
  <c r="AM149" i="13" s="1"/>
  <c r="AM150" i="13" s="1"/>
  <c r="AM151" i="13" s="1"/>
  <c r="AM152" i="13" s="1"/>
  <c r="AM153" i="13" s="1"/>
  <c r="AM154" i="13" s="1"/>
  <c r="BF163" i="13" l="1"/>
  <c r="AS163" i="13" s="1"/>
  <c r="AM155" i="13"/>
  <c r="AM156" i="13" s="1"/>
  <c r="AM157" i="13" s="1"/>
  <c r="AM158" i="13" s="1"/>
  <c r="AM159" i="13" s="1"/>
  <c r="AM160" i="13" s="1"/>
  <c r="AM161" i="13" s="1"/>
  <c r="BF164" i="13" l="1"/>
  <c r="BF165" i="13" l="1"/>
  <c r="AS164" i="13"/>
  <c r="BF166" i="13" l="1"/>
  <c r="AS166" i="13" s="1"/>
  <c r="AS16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David Soba</author>
    <author>Jhan Camilo Pulido Rodriguez</author>
  </authors>
  <commentList>
    <comment ref="AF20" authorId="0" shapeId="0" xr:uid="{61B0C56A-093A-45CB-96DA-296378315499}">
      <text>
        <r>
          <rPr>
            <b/>
            <sz val="9"/>
            <color indexed="81"/>
            <rFont val="Tahoma"/>
            <family val="2"/>
          </rPr>
          <t xml:space="preserve">Nota:
</t>
        </r>
        <r>
          <rPr>
            <sz val="9"/>
            <color indexed="81"/>
            <rFont val="Tahoma"/>
            <family val="2"/>
          </rPr>
          <t>Cargo de acceso establecido en el artículo 8 de la Resolución CRT de 2007.</t>
        </r>
      </text>
    </comment>
    <comment ref="AI20" authorId="0" shapeId="0" xr:uid="{8C47CCEB-E796-427B-AAE2-3208B48FA11B}">
      <text>
        <r>
          <rPr>
            <b/>
            <sz val="9"/>
            <color indexed="81"/>
            <rFont val="Tahoma"/>
            <family val="2"/>
          </rPr>
          <t xml:space="preserve">Nota:
</t>
        </r>
        <r>
          <rPr>
            <sz val="9"/>
            <color indexed="81"/>
            <rFont val="Tahoma"/>
            <family val="2"/>
          </rPr>
          <t>Cargo de acceso establecido en el artículo 8 de la Resolución CRT de 2007.</t>
        </r>
      </text>
    </comment>
    <comment ref="AF45" authorId="0" shapeId="0" xr:uid="{6348DC3C-0F08-46EA-A886-9B5D1FFF13FC}">
      <text>
        <r>
          <rPr>
            <b/>
            <sz val="9"/>
            <color indexed="81"/>
            <rFont val="Tahoma"/>
            <family val="2"/>
          </rPr>
          <t>Nota:</t>
        </r>
        <r>
          <rPr>
            <sz val="9"/>
            <color indexed="81"/>
            <rFont val="Tahoma"/>
            <family val="2"/>
          </rPr>
          <t xml:space="preserve">
Cambio introducido por el artículo 1 de la Resolución CRC 2354 de 2010.</t>
        </r>
      </text>
    </comment>
    <comment ref="AI45" authorId="0" shapeId="0" xr:uid="{5E843E9B-BD99-48C7-8652-EE32DC91B53E}">
      <text>
        <r>
          <rPr>
            <b/>
            <sz val="9"/>
            <color indexed="81"/>
            <rFont val="Tahoma"/>
            <family val="2"/>
          </rPr>
          <t xml:space="preserve">Nota:
</t>
        </r>
        <r>
          <rPr>
            <sz val="9"/>
            <color indexed="81"/>
            <rFont val="Tahoma"/>
            <family val="2"/>
          </rPr>
          <t xml:space="preserve">Cambio introducido por el artículo 1 de la Resolución CRC 2354 de 2010.
</t>
        </r>
      </text>
    </comment>
    <comment ref="AY69" authorId="0" shapeId="0" xr:uid="{95114D4D-B604-4B5B-A35E-CDC655387E43}">
      <text>
        <r>
          <rPr>
            <b/>
            <sz val="9"/>
            <color indexed="81"/>
            <rFont val="Tahoma"/>
            <family val="2"/>
          </rPr>
          <t xml:space="preserve">Nota:
</t>
        </r>
        <r>
          <rPr>
            <sz val="9"/>
            <color indexed="81"/>
            <rFont val="Tahoma"/>
            <family val="2"/>
          </rPr>
          <t xml:space="preserve">Adicionado por el artículo 1 de la Resolución CRC 3500 de 2011.
</t>
        </r>
      </text>
    </comment>
    <comment ref="AZ69" authorId="0" shapeId="0" xr:uid="{41DADE4A-6DA1-45EE-A02D-F064222C95C9}">
      <text>
        <r>
          <rPr>
            <b/>
            <sz val="9"/>
            <color indexed="81"/>
            <rFont val="Tahoma"/>
            <family val="2"/>
          </rPr>
          <t>Nota:</t>
        </r>
        <r>
          <rPr>
            <sz val="9"/>
            <color indexed="81"/>
            <rFont val="Tahoma"/>
            <family val="2"/>
          </rPr>
          <t xml:space="preserve">
Adicionado por el artículo 1 de la Resolución CRC 3500 de 2011.</t>
        </r>
      </text>
    </comment>
    <comment ref="AF93" authorId="0" shapeId="0" xr:uid="{93F4AD58-E338-41DE-8A1F-A86648536D07}">
      <text>
        <r>
          <rPr>
            <b/>
            <sz val="9"/>
            <color indexed="81"/>
            <rFont val="Tahoma"/>
            <family val="2"/>
          </rPr>
          <t xml:space="preserve">Nota:
</t>
        </r>
        <r>
          <rPr>
            <sz val="9"/>
            <color indexed="81"/>
            <rFont val="Tahoma"/>
            <family val="2"/>
          </rPr>
          <t xml:space="preserve">Cambio introducido por el artículo 1 de la Resolución CRC 4660 de 2014. </t>
        </r>
        <r>
          <rPr>
            <sz val="9"/>
            <color indexed="81"/>
            <rFont val="Tahoma"/>
            <family val="2"/>
          </rPr>
          <t xml:space="preserve">
</t>
        </r>
      </text>
    </comment>
    <comment ref="AI93" authorId="0" shapeId="0" xr:uid="{960B71CB-EBBF-4171-A4C6-31971D7C7FD3}">
      <text>
        <r>
          <rPr>
            <b/>
            <sz val="9"/>
            <color indexed="81"/>
            <rFont val="Tahoma"/>
            <family val="2"/>
          </rPr>
          <t>Nota:</t>
        </r>
        <r>
          <rPr>
            <sz val="9"/>
            <color indexed="81"/>
            <rFont val="Tahoma"/>
            <family val="2"/>
          </rPr>
          <t xml:space="preserve">
Cambio introducido por el artículo 1 de la Resolución CRC 4660 de 2014. </t>
        </r>
      </text>
    </comment>
    <comment ref="AY93" authorId="0" shapeId="0" xr:uid="{49546203-D5C3-4B2C-99E9-C03CA979FE00}">
      <text>
        <r>
          <rPr>
            <b/>
            <sz val="9"/>
            <color indexed="81"/>
            <rFont val="Tahoma"/>
            <family val="2"/>
          </rPr>
          <t>Jose David Soba:</t>
        </r>
        <r>
          <rPr>
            <sz val="9"/>
            <color indexed="81"/>
            <rFont val="Tahoma"/>
            <family val="2"/>
          </rPr>
          <t xml:space="preserve">
Cambio establecido por la Resolución CRC 4660 de 2014.
</t>
        </r>
      </text>
    </comment>
    <comment ref="AA104" authorId="0" shapeId="0" xr:uid="{F95604E4-367E-4FE9-9F08-B8693908121D}">
      <text>
        <r>
          <rPr>
            <b/>
            <sz val="9"/>
            <color indexed="81"/>
            <rFont val="Tahoma"/>
            <family val="2"/>
          </rPr>
          <t>Nota: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AD104" authorId="0" shapeId="0" xr:uid="{5B47CDA6-DEDB-434B-A195-97571DA8B5BC}">
      <text>
        <r>
          <rPr>
            <b/>
            <sz val="9"/>
            <color indexed="81"/>
            <rFont val="Tahoma"/>
            <family val="2"/>
          </rPr>
          <t>Jose David Soba: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AW104" authorId="0" shapeId="0" xr:uid="{A6D3E12B-B2B7-432A-9661-342F0D65AA70}">
      <text>
        <r>
          <rPr>
            <b/>
            <sz val="9"/>
            <color indexed="81"/>
            <rFont val="Tahoma"/>
            <family val="2"/>
          </rPr>
          <t>Nota:</t>
        </r>
        <r>
          <rPr>
            <sz val="9"/>
            <color indexed="81"/>
            <rFont val="Tahoma"/>
            <family val="2"/>
          </rPr>
          <t xml:space="preserve">
Lo estipulado en el artículo 8C de la Resolución CRT 1763 de 2007 que, a su vez fue adicionado por el artículo 5 de la Resolución CRC 4660 de 2014, empezó a regir a partir del 30 de diciembre de 2014. Lo anterior, conforme a lo establecido en el artículo 13 de "Vigencias y Derogatorias" de la última Resolución en mención.</t>
        </r>
      </text>
    </comment>
    <comment ref="Z131" authorId="0" shapeId="0" xr:uid="{68814544-8605-4F5A-9A97-A832D06A811E}">
      <text>
        <r>
          <rPr>
            <b/>
            <sz val="9"/>
            <color indexed="81"/>
            <rFont val="Tahoma"/>
            <family val="2"/>
          </rPr>
          <t xml:space="preserve">Nota:
</t>
        </r>
        <r>
          <rPr>
            <sz val="9"/>
            <color indexed="81"/>
            <rFont val="Tahoma"/>
            <family val="2"/>
          </rPr>
          <t>Cambio introducido por el artículo 4 de la Resolución CRC 5826 de 2019.</t>
        </r>
      </text>
    </comment>
    <comment ref="AC131" authorId="0" shapeId="0" xr:uid="{C02C382D-8317-4CE5-9408-7889BD83A259}">
      <text>
        <r>
          <rPr>
            <b/>
            <sz val="9"/>
            <color indexed="81"/>
            <rFont val="Tahoma"/>
            <family val="2"/>
          </rPr>
          <t>Nota:</t>
        </r>
        <r>
          <rPr>
            <sz val="9"/>
            <color indexed="81"/>
            <rFont val="Tahoma"/>
            <family val="2"/>
          </rPr>
          <t xml:space="preserve">
Cambio introducido por el artículo 4 de la Resolución CRC 5826 de 2019.</t>
        </r>
      </text>
    </comment>
    <comment ref="AF131" authorId="0" shapeId="0" xr:uid="{7A492E55-F242-4647-8833-F5FD757AB8B2}">
      <text>
        <r>
          <rPr>
            <b/>
            <sz val="9"/>
            <color indexed="81"/>
            <rFont val="Tahoma"/>
            <family val="2"/>
          </rPr>
          <t>Nota:</t>
        </r>
        <r>
          <rPr>
            <sz val="9"/>
            <color indexed="81"/>
            <rFont val="Tahoma"/>
            <family val="2"/>
          </rPr>
          <t xml:space="preserve">
Cambio introducido por el artículo 4 de la Resolución CRC 5826 de 2019.</t>
        </r>
      </text>
    </comment>
    <comment ref="AI131" authorId="0" shapeId="0" xr:uid="{2A0144EE-C4CA-4BE8-8EE0-F85E56D0BF10}">
      <text>
        <r>
          <rPr>
            <b/>
            <sz val="9"/>
            <color indexed="81"/>
            <rFont val="Tahoma"/>
            <family val="2"/>
          </rPr>
          <t>Nota:</t>
        </r>
        <r>
          <rPr>
            <sz val="9"/>
            <color indexed="81"/>
            <rFont val="Tahoma"/>
            <family val="2"/>
          </rPr>
          <t xml:space="preserve">
Cambio introducido por el artículo 4 de la Resolución CRC 5826 de 2019.</t>
        </r>
      </text>
    </comment>
    <comment ref="AV131" authorId="0" shapeId="0" xr:uid="{139F04FB-B225-416C-9D03-FB120A96A547}">
      <text>
        <r>
          <rPr>
            <b/>
            <sz val="9"/>
            <color indexed="81"/>
            <rFont val="Tahoma"/>
            <family val="2"/>
          </rPr>
          <t>Nota:</t>
        </r>
        <r>
          <rPr>
            <sz val="9"/>
            <color indexed="81"/>
            <rFont val="Tahoma"/>
            <family val="2"/>
          </rPr>
          <t xml:space="preserve">
Cambio introducido por el artículo 4 de la Resolución CRC 5826 de 2019.</t>
        </r>
      </text>
    </comment>
    <comment ref="AY131" authorId="0" shapeId="0" xr:uid="{70044DE2-EC19-4763-9829-0C6BB9C514CF}">
      <text>
        <r>
          <rPr>
            <b/>
            <sz val="9"/>
            <color indexed="81"/>
            <rFont val="Tahoma"/>
            <family val="2"/>
          </rPr>
          <t>Nota:</t>
        </r>
        <r>
          <rPr>
            <sz val="9"/>
            <color indexed="81"/>
            <rFont val="Tahoma"/>
            <family val="2"/>
          </rPr>
          <t xml:space="preserve">
Cambio introducido por el artículo 4 de la Resolución CRC 5826 de 2019.</t>
        </r>
      </text>
    </comment>
    <comment ref="BB131" authorId="0" shapeId="0" xr:uid="{8FDEF8ED-590D-4CA4-B593-88FD63EC434E}">
      <text>
        <r>
          <rPr>
            <b/>
            <sz val="9"/>
            <color indexed="81"/>
            <rFont val="Tahoma"/>
            <family val="2"/>
          </rPr>
          <t>Nota:</t>
        </r>
        <r>
          <rPr>
            <sz val="9"/>
            <color indexed="81"/>
            <rFont val="Tahoma"/>
            <family val="2"/>
          </rPr>
          <t xml:space="preserve">
Cambio introducido por el artículo 4 de la Resolución CRC 5826 de 2019.</t>
        </r>
      </text>
    </comment>
    <comment ref="BE138" authorId="0" shapeId="0" xr:uid="{48B91495-AFCD-4309-8913-DAB52200F9E5}">
      <text>
        <r>
          <rPr>
            <b/>
            <sz val="9"/>
            <color indexed="81"/>
            <rFont val="Tahoma"/>
            <family val="2"/>
          </rPr>
          <t xml:space="preserve">Nota:
</t>
        </r>
        <r>
          <rPr>
            <sz val="9"/>
            <color indexed="81"/>
            <rFont val="Tahoma"/>
            <family val="2"/>
          </rPr>
          <t xml:space="preserve">Cambio introducido por la Resolución CRC 5198 de 2017.
</t>
        </r>
      </text>
    </comment>
    <comment ref="BH138" authorId="0" shapeId="0" xr:uid="{73C44A33-FA6F-469D-A8FE-635E7E04006B}">
      <text>
        <r>
          <rPr>
            <b/>
            <sz val="9"/>
            <color indexed="81"/>
            <rFont val="Tahoma"/>
            <family val="2"/>
          </rPr>
          <t>Nota:</t>
        </r>
        <r>
          <rPr>
            <sz val="9"/>
            <color indexed="81"/>
            <rFont val="Tahoma"/>
            <family val="2"/>
          </rPr>
          <t xml:space="preserve">
Cambio introducido por la Resolución CRC 5198 de 2017.</t>
        </r>
      </text>
    </comment>
    <comment ref="I162" authorId="1" shapeId="0" xr:uid="{F7B354F0-01B7-4263-A583-E7135CCCDEF2}">
      <text>
        <r>
          <rPr>
            <b/>
            <sz val="9"/>
            <color indexed="81"/>
            <rFont val="Tahoma"/>
            <family val="2"/>
          </rPr>
          <t xml:space="preserve">Nota: </t>
        </r>
        <r>
          <rPr>
            <sz val="9"/>
            <color indexed="81"/>
            <rFont val="Tahoma"/>
            <family val="2"/>
          </rPr>
          <t>El</t>
        </r>
        <r>
          <rPr>
            <b/>
            <sz val="9"/>
            <color indexed="81"/>
            <rFont val="Tahoma"/>
            <family val="2"/>
          </rPr>
          <t xml:space="preserve"> </t>
        </r>
        <r>
          <rPr>
            <sz val="9"/>
            <color indexed="81"/>
            <rFont val="Tahoma"/>
            <family val="2"/>
          </rPr>
          <t>Artículo 4 de la Resolución CRC 5826 de 2019 subroga la sección 2 del Capítulo 3 del Título IV de la Res. 5050 de 2016.</t>
        </r>
      </text>
    </comment>
    <comment ref="L162" authorId="1" shapeId="0" xr:uid="{78A22367-1738-46DC-887E-571B0BCDEB8C}">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O162" authorId="0" shapeId="0" xr:uid="{64A7654E-46A6-4989-8EFF-5AB0232135AD}">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R162" authorId="0" shapeId="0" xr:uid="{E418C92A-1746-4E96-80F3-4B0F19546B80}">
      <text>
        <r>
          <rPr>
            <b/>
            <sz val="9"/>
            <color indexed="81"/>
            <rFont val="Tahoma"/>
            <family val="2"/>
          </rPr>
          <t>Nota:</t>
        </r>
        <r>
          <rPr>
            <sz val="9"/>
            <color indexed="81"/>
            <rFont val="Tahoma"/>
            <family val="2"/>
          </rPr>
          <t xml:space="preserve"> El Artículo 4 de la Resolución CRC 5826 de 2019 subroga la sección 2 del Capítulo 3 del Título IV de la Res. 5050 de 2016.</t>
        </r>
      </text>
    </comment>
    <comment ref="T162" authorId="0" shapeId="0" xr:uid="{D6C8E9BD-5F28-4B22-85CA-7528494EFBA3}">
      <text>
        <r>
          <rPr>
            <b/>
            <sz val="9"/>
            <color indexed="81"/>
            <rFont val="Tahoma"/>
            <charset val="1"/>
          </rPr>
          <t>Nota:</t>
        </r>
        <r>
          <rPr>
            <sz val="9"/>
            <color indexed="81"/>
            <rFont val="Tahoma"/>
            <charset val="1"/>
          </rPr>
          <t xml:space="preserve">
A partir del 1 de agosto de 2019 según lo dispuesto en el Artículo 4.3.2.1 de la Resolución CRC 5826 de 2019.</t>
        </r>
      </text>
    </comment>
    <comment ref="W162" authorId="0" shapeId="0" xr:uid="{B5CA2B9A-65B6-4D88-A355-6118A4688C80}">
      <text>
        <r>
          <rPr>
            <b/>
            <sz val="9"/>
            <color indexed="81"/>
            <rFont val="Tahoma"/>
            <charset val="1"/>
          </rPr>
          <t>Nota:</t>
        </r>
        <r>
          <rPr>
            <sz val="9"/>
            <color indexed="81"/>
            <rFont val="Tahoma"/>
            <charset val="1"/>
          </rPr>
          <t xml:space="preserve">
A partir del 1 de agosto de 2019 según lo dispuesto en el Artículo 4.3.2.1 de la Resolución CRC 5826 de 2019.</t>
        </r>
      </text>
    </comment>
    <comment ref="AM162" authorId="1" shapeId="0" xr:uid="{EE52E60B-5723-4F85-BB8D-4F13BE755695}">
      <text>
        <r>
          <rPr>
            <b/>
            <sz val="9"/>
            <color indexed="81"/>
            <rFont val="Tahoma"/>
            <family val="2"/>
          </rPr>
          <t xml:space="preserve">Nota: </t>
        </r>
        <r>
          <rPr>
            <sz val="9"/>
            <color indexed="81"/>
            <rFont val="Tahoma"/>
            <family val="2"/>
          </rPr>
          <t>El</t>
        </r>
        <r>
          <rPr>
            <b/>
            <sz val="9"/>
            <color indexed="81"/>
            <rFont val="Tahoma"/>
            <family val="2"/>
          </rPr>
          <t xml:space="preserve"> </t>
        </r>
        <r>
          <rPr>
            <sz val="9"/>
            <color indexed="81"/>
            <rFont val="Tahoma"/>
            <family val="2"/>
          </rPr>
          <t>Artículo 4 de la Resolución CRC 5826 de 2019 subroga la sección 2 del Capítulo 3 del Título IV de la Resolución CRC 5050 de 2016.</t>
        </r>
      </text>
    </comment>
    <comment ref="AP162" authorId="0" shapeId="0" xr:uid="{985F5E52-02F1-4210-A23A-4A23E5F70FB4}">
      <text>
        <r>
          <rPr>
            <b/>
            <sz val="9"/>
            <color indexed="81"/>
            <rFont val="Tahoma"/>
            <family val="2"/>
          </rPr>
          <t>Nota:</t>
        </r>
        <r>
          <rPr>
            <sz val="9"/>
            <color indexed="81"/>
            <rFont val="Tahoma"/>
            <family val="2"/>
          </rPr>
          <t xml:space="preserve"> El Artículo 4 de la Resolución CRC 5826 de 2019 subroga la sección 2 del Capítulo 3 del Título IV de la Resolución CRC 5050 de 2016.</t>
        </r>
      </text>
    </comment>
    <comment ref="AQ162" authorId="0" shapeId="0" xr:uid="{980B752A-1A79-4365-93E6-F4A4603B8527}">
      <text>
        <r>
          <rPr>
            <b/>
            <sz val="9"/>
            <color indexed="81"/>
            <rFont val="Tahoma"/>
            <family val="2"/>
          </rPr>
          <t>Nota:</t>
        </r>
        <r>
          <rPr>
            <sz val="9"/>
            <color indexed="81"/>
            <rFont val="Tahoma"/>
            <family val="2"/>
          </rPr>
          <t xml:space="preserve"> El Artículo 4 de la Resolución CRC 5826 de 2019 subroga la sección 2 del Capítulo 3 del Título IV de la Resolución CRC 5050 de 2016.</t>
        </r>
      </text>
    </comment>
    <comment ref="AS162" authorId="1" shapeId="0" xr:uid="{75816FAE-924B-4F59-A34B-166D545C05CF}">
      <text>
        <r>
          <rPr>
            <b/>
            <sz val="9"/>
            <color indexed="81"/>
            <rFont val="Tahoma"/>
            <family val="2"/>
          </rPr>
          <t xml:space="preserve">Nota: </t>
        </r>
        <r>
          <rPr>
            <sz val="9"/>
            <color indexed="81"/>
            <rFont val="Tahoma"/>
            <family val="2"/>
          </rPr>
          <t>Como resultado de la entrada en vigencia de la Resolución CRC 5826 de 2019, la fórmula de cálculo de este valor contenida en el artículo 4.4.1.1, reporta un nuevo cargo de acceso a partir de 01 de agosto de 2019.</t>
        </r>
      </text>
    </comment>
  </commentList>
</comments>
</file>

<file path=xl/sharedStrings.xml><?xml version="1.0" encoding="utf-8"?>
<sst xmlns="http://schemas.openxmlformats.org/spreadsheetml/2006/main" count="144" uniqueCount="72">
  <si>
    <t>Año</t>
  </si>
  <si>
    <t>Mes</t>
  </si>
  <si>
    <t>IAT</t>
  </si>
  <si>
    <t>IAT promedio aritmético últimos 12 meses</t>
  </si>
  <si>
    <t>Variación del promedio artimético últimos 12 meses</t>
  </si>
  <si>
    <t>Cargo de acceso uso en $ corrientes</t>
  </si>
  <si>
    <t>Cargos de acceso por uso en $ constantes</t>
  </si>
  <si>
    <t>Cargos de acceso por capacidad en $ constantes</t>
  </si>
  <si>
    <t>Cargo de acceso capacidad en $ corrientes</t>
  </si>
  <si>
    <t>GRUPO1-Res.463/2001</t>
  </si>
  <si>
    <t>GRUPO2-Res.463/2001</t>
  </si>
  <si>
    <t>GRUPO3-Res.463/2001</t>
  </si>
  <si>
    <t>CARGOS DE ACCESO MAXIMOS PARA REDES DE TPBLC</t>
  </si>
  <si>
    <t>CARGOS DE ACCESO MAXIMOS PARA REDES MOVILES</t>
  </si>
  <si>
    <t xml:space="preserve">CARGOS DE ACCESO POR USO MAXIMOS </t>
  </si>
  <si>
    <t xml:space="preserve">CARGOS DE ACCESO POR CAPACIDAD MAXIMOS </t>
  </si>
  <si>
    <t>CARGOS DE ACCESO POR USO MAXIMOS</t>
  </si>
  <si>
    <t>Res.463/2001</t>
  </si>
  <si>
    <t>CARGO DE ACCESO PROGRAMA COMPARTEL</t>
  </si>
  <si>
    <t>CARGOS DE ACCESO POR CAPACIDAD MAXIMOS</t>
  </si>
  <si>
    <t>INSTALACIÓN ESENCIAL DE FACTURACIÓN, DISTRIBUCIÓN Y RECAUDO</t>
  </si>
  <si>
    <t>INSTALACIÓN ESENCIAL DE FACTURACIÓN , DISTRIBUCIÓN Y RECAUDO Y SERVICIO DE GESTIÓN OPERATIVA DE RECLAMOS</t>
  </si>
  <si>
    <t>CARGOS DE ACCESO PARA TERMINACIÓN DE MENSAJES CORTOS DE TEXTO (SMS)</t>
  </si>
  <si>
    <t>Cargos de acceso en $ constantes</t>
  </si>
  <si>
    <t>Cargo de acceso en $ corrientes</t>
  </si>
  <si>
    <t>Valor en $ constantes</t>
  </si>
  <si>
    <t>Valor en $ corrientes</t>
  </si>
  <si>
    <t xml:space="preserve">Cargo de acceso local máximo </t>
  </si>
  <si>
    <t>Cargo por transporte rural</t>
  </si>
  <si>
    <t>Cargo de acceso local máximo</t>
  </si>
  <si>
    <t>Cargo por transporte para municipios con población inferior a 10.000 hab. y municipios con población superior a 10.000 hab. y que no cuentan con conexión a una red de fibra óptica nacional</t>
  </si>
  <si>
    <t>Cargo por transporte para municipios con población superior a 10.000 hab. y que cuentan con conexión a una red de fibra óptica nacional
(Anexo 03 Res. 1763/07)</t>
  </si>
  <si>
    <t>VOZ
(Valor en $ corrientes por minuto)</t>
  </si>
  <si>
    <t>SMS
(Valor en $ corrientes por sms)</t>
  </si>
  <si>
    <t>DATOS
(Valor en $ corrientes por MByte)</t>
  </si>
  <si>
    <t>VALOR REGULADO INSTALACIÓN ESENCIAL ROAMING AUTOMÁTICO NACIONAL</t>
  </si>
  <si>
    <t>TARIFA FIJO - MÓVIL
(antes de impuestos)
Aplica para PRST móviles con titularidad de las llamadas fijo a móvil</t>
  </si>
  <si>
    <t>Del 01-feb-17 al 23-feb-2017</t>
  </si>
  <si>
    <t>Del 24-feb-17 al 28-feb-2017</t>
  </si>
  <si>
    <t>Desde el 24-feb-17</t>
  </si>
  <si>
    <t>Hasta el 23-feb-17</t>
  </si>
  <si>
    <t>VALOR REGULADO INSTALACIÓN ESENCIAL ROAMING AUTOMÁTICO NACIONAL ENTRANTES</t>
  </si>
  <si>
    <t>Res. 5107/2017</t>
  </si>
  <si>
    <t>Res. 4112/2013 y 5107/2017</t>
  </si>
  <si>
    <t>Res.1763/2007 y 5108/2017</t>
  </si>
  <si>
    <t>Res. 3500/2011 Y 5108/2017</t>
  </si>
  <si>
    <t>Hasta el 29/08/2017</t>
  </si>
  <si>
    <t>Desde el 30/08/2017</t>
  </si>
  <si>
    <t>Res. 3096/2011 Y 5198/2017</t>
  </si>
  <si>
    <t>Res.4900/2016 5322/2018 y 5826/2019</t>
  </si>
  <si>
    <t>GRUPO1-Res.1763/2007 y 5826/2019</t>
  </si>
  <si>
    <t>GRUPO2-Res.1763/2007 y 5826/2019</t>
  </si>
  <si>
    <t>Res. 3534/2012 y 5826/2019</t>
  </si>
  <si>
    <t>Res.5826/2019</t>
  </si>
  <si>
    <t>Res.1763/2007 y 5826/2019</t>
  </si>
  <si>
    <t>VALOR DE REMUNERACIÓN POR EL ACCESO A LAS REDES MÓVILES PARA LA PROVISIÓN DE SERVICIOS BAJO LA FIGURA DE OPERACIÓN MÓVIL VIRTUAL PARA TERMINACIÓN DE MENSAJES CORTOS DE TEXTO (SMS)</t>
  </si>
  <si>
    <t>Res. 5108/2017</t>
  </si>
  <si>
    <t>ROAMING AUTOMÁTICO NACIONAL</t>
  </si>
  <si>
    <t>FACTURACIÓN, DISTRIBUCIÓN Y RECAUDO</t>
  </si>
  <si>
    <t>MENSAJES CORTOS DE TEXTO (SMS)</t>
  </si>
  <si>
    <t>CARGOS DE ACCESO MAXIMOS PARA REDES DE TPBCL (VOZ)</t>
  </si>
  <si>
    <t>CARGOS DE ACCESO MAXIMOS PARA REDES FIJAS (VOZ)</t>
  </si>
  <si>
    <t>CARGOS DE ACCESO MAXIMOS PARA REDES MOVILES (VOZ)</t>
  </si>
  <si>
    <t>CARGOS DE ACCESO A REDES DE TPBCLE (VOZ)</t>
  </si>
  <si>
    <t>FIJO-MÓVIL</t>
  </si>
  <si>
    <t>CARGOS DE ACCESO POR USO MAXIMOS
ENTRANTES</t>
  </si>
  <si>
    <t>CARGOS DE ACCESO POR CAPACIDAD MAXIMOS
ENTRANTES</t>
  </si>
  <si>
    <t>CARGOS DE ACCESO PARA TERMINACIÓN DE MENSAJES CORTOS DE TEXTO (SMS)
ENTRANTES</t>
  </si>
  <si>
    <t xml:space="preserve"> </t>
  </si>
  <si>
    <t>Después de la Resolución 1763 de 2007</t>
  </si>
  <si>
    <t>Antes de la Resolución 1763 de 2007</t>
  </si>
  <si>
    <t>Cargos de Acceso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</si>
</sst>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164" formatCode="_-* #,##0\ _$_-;\-* #,##0\ _$_-;_-* &quot;-&quot;\ _$_-;_-@_-"/>
    <numFmt numFmtId="165" formatCode="_-* #,##0.00\ &quot;$&quot;_-;\-* #,##0.00\ &quot;$&quot;_-;_-* &quot;-&quot;??\ &quot;$&quot;_-;_-@_-"/>
    <numFmt numFmtId="166" formatCode="_-* #,##0.00\ _$_-;\-* #,##0.00\ _$_-;_-* &quot;-&quot;??\ _$_-;_-@_-"/>
    <numFmt numFmtId="167" formatCode="0.0000%"/>
    <numFmt numFmtId="168" formatCode="0.000"/>
    <numFmt numFmtId="169" formatCode="0.00000"/>
    <numFmt numFmtId="170" formatCode="0.0000"/>
    <numFmt numFmtId="171" formatCode="0.0%"/>
    <numFmt numFmtId="172" formatCode="_-* #,##0_-;\-* #,##0_-;_-* &quot;-&quot;??_-;_-@_-"/>
    <numFmt numFmtId="173" formatCode="[$$-240A]\ #,##0.00"/>
    <numFmt numFmtId="174" formatCode="[$$-240A]\ #,##0"/>
    <numFmt numFmtId="175" formatCode="_-&quot;$&quot;\ * #,##0.00_-;\-&quot;$&quot;\ * #,##0.00_-;_-&quot;$&quot;\ * &quot;-&quot;_-;_-@_-"/>
  </numFmts>
  <fonts count="18" x14ac:knownFonts="1">
    <font>
      <sz val="10"/>
      <name val="Arial"/>
    </font>
    <font>
      <sz val="10"/>
      <name val="Arial"/>
      <family val="2"/>
    </font>
    <font>
      <sz val="8"/>
      <name val="Tahoma"/>
      <family val="2"/>
    </font>
    <font>
      <b/>
      <sz val="8"/>
      <name val="Tahoma"/>
      <family val="2"/>
    </font>
    <font>
      <sz val="8"/>
      <name val="Arial"/>
      <family val="2"/>
    </font>
    <font>
      <b/>
      <sz val="10"/>
      <name val="Tahoma"/>
      <family val="2"/>
    </font>
    <font>
      <b/>
      <sz val="8"/>
      <name val="Tahoma"/>
      <family val="2"/>
    </font>
    <font>
      <sz val="8"/>
      <name val="Tahoma"/>
      <family val="2"/>
    </font>
    <font>
      <b/>
      <sz val="10"/>
      <name val="Tahoma"/>
      <family val="2"/>
    </font>
    <font>
      <b/>
      <sz val="7"/>
      <name val="Tahoma"/>
      <family val="2"/>
    </font>
    <font>
      <b/>
      <sz val="14"/>
      <name val="Tahoma"/>
      <family val="2"/>
    </font>
    <font>
      <b/>
      <sz val="9"/>
      <color indexed="81"/>
      <name val="Tahoma"/>
      <family val="2"/>
    </font>
    <font>
      <sz val="10"/>
      <name val="Arial"/>
      <family val="2"/>
    </font>
    <font>
      <sz val="9"/>
      <color indexed="81"/>
      <name val="Tahoma"/>
      <family val="2"/>
    </font>
    <font>
      <sz val="9"/>
      <color indexed="81"/>
      <name val="Tahoma"/>
      <charset val="1"/>
    </font>
    <font>
      <b/>
      <sz val="9"/>
      <color indexed="81"/>
      <name val="Tahoma"/>
      <charset val="1"/>
    </font>
    <font>
      <b/>
      <sz val="9"/>
      <name val="Tahoma"/>
      <family val="2"/>
    </font>
    <font>
      <sz val="9"/>
      <name val="Tahom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5617A"/>
        <bgColor indexed="64"/>
      </patternFill>
    </fill>
    <fill>
      <patternFill patternType="solid">
        <fgColor rgb="FFFBC5CE"/>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rgb="FFF69D7A"/>
        <bgColor indexed="64"/>
      </patternFill>
    </fill>
    <fill>
      <patternFill patternType="solid">
        <fgColor theme="9" tint="0.59999389629810485"/>
        <bgColor indexed="64"/>
      </patternFill>
    </fill>
  </fills>
  <borders count="5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42" fontId="12" fillId="0" borderId="0" applyFont="0" applyFill="0" applyBorder="0" applyAlignment="0" applyProtection="0"/>
  </cellStyleXfs>
  <cellXfs count="453">
    <xf numFmtId="0" fontId="0" fillId="0" borderId="0" xfId="0"/>
    <xf numFmtId="0" fontId="2" fillId="2" borderId="0" xfId="0" applyFont="1" applyFill="1" applyAlignment="1">
      <alignment horizontal="center"/>
    </xf>
    <xf numFmtId="167" fontId="2" fillId="2" borderId="0" xfId="4" applyNumberFormat="1" applyFont="1" applyFill="1" applyAlignment="1">
      <alignment horizontal="center"/>
    </xf>
    <xf numFmtId="0" fontId="2" fillId="2" borderId="0" xfId="0" applyFont="1" applyFill="1"/>
    <xf numFmtId="0" fontId="2" fillId="2" borderId="0" xfId="0" applyFont="1" applyFill="1" applyBorder="1" applyAlignment="1">
      <alignment horizontal="center"/>
    </xf>
    <xf numFmtId="10" fontId="2" fillId="2" borderId="0" xfId="4" applyNumberFormat="1" applyFont="1" applyFill="1"/>
    <xf numFmtId="10" fontId="2" fillId="2" borderId="0" xfId="4" applyNumberFormat="1" applyFont="1" applyFill="1" applyBorder="1"/>
    <xf numFmtId="169" fontId="2" fillId="2" borderId="0" xfId="0" applyNumberFormat="1" applyFont="1" applyFill="1"/>
    <xf numFmtId="2" fontId="2" fillId="2" borderId="0" xfId="0" applyNumberFormat="1" applyFont="1" applyFill="1" applyBorder="1"/>
    <xf numFmtId="170" fontId="2" fillId="2" borderId="0" xfId="0" applyNumberFormat="1" applyFont="1" applyFill="1" applyBorder="1"/>
    <xf numFmtId="2" fontId="3" fillId="2" borderId="0" xfId="0" applyNumberFormat="1" applyFont="1" applyFill="1" applyBorder="1"/>
    <xf numFmtId="2" fontId="2" fillId="2" borderId="0" xfId="0" applyNumberFormat="1" applyFont="1" applyFill="1"/>
    <xf numFmtId="171" fontId="2" fillId="2" borderId="0" xfId="4" applyNumberFormat="1" applyFont="1" applyFill="1"/>
    <xf numFmtId="164" fontId="2" fillId="2" borderId="0" xfId="2" applyFont="1" applyFill="1"/>
    <xf numFmtId="167" fontId="2" fillId="2" borderId="0" xfId="4" applyNumberFormat="1" applyFont="1" applyFill="1"/>
    <xf numFmtId="1" fontId="3" fillId="3" borderId="1"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1" fontId="3" fillId="2" borderId="0" xfId="0" applyNumberFormat="1" applyFont="1" applyFill="1" applyAlignment="1">
      <alignment horizontal="center"/>
    </xf>
    <xf numFmtId="1" fontId="3" fillId="2" borderId="0" xfId="0" applyNumberFormat="1" applyFont="1" applyFill="1"/>
    <xf numFmtId="0" fontId="3" fillId="3" borderId="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2" fillId="2" borderId="0" xfId="0" applyFont="1" applyFill="1" applyAlignment="1">
      <alignment vertical="center"/>
    </xf>
    <xf numFmtId="0" fontId="2" fillId="2" borderId="0" xfId="0" applyFont="1" applyFill="1" applyAlignment="1">
      <alignment vertical="center" wrapText="1"/>
    </xf>
    <xf numFmtId="1" fontId="5" fillId="2" borderId="0" xfId="0" applyNumberFormat="1" applyFont="1" applyFill="1"/>
    <xf numFmtId="15" fontId="2" fillId="2" borderId="0" xfId="0" applyNumberFormat="1" applyFont="1" applyFill="1"/>
    <xf numFmtId="0" fontId="3" fillId="2" borderId="0" xfId="0" applyFont="1" applyFill="1"/>
    <xf numFmtId="0" fontId="2" fillId="2" borderId="46" xfId="0" applyFont="1" applyFill="1" applyBorder="1"/>
    <xf numFmtId="0" fontId="2" fillId="2" borderId="48" xfId="0" applyFont="1" applyFill="1" applyBorder="1"/>
    <xf numFmtId="0" fontId="3" fillId="2" borderId="48" xfId="0" applyFont="1" applyFill="1" applyBorder="1"/>
    <xf numFmtId="0" fontId="2" fillId="2" borderId="49" xfId="0" applyFont="1" applyFill="1" applyBorder="1"/>
    <xf numFmtId="1" fontId="6" fillId="2" borderId="0" xfId="0" applyNumberFormat="1" applyFont="1" applyFill="1"/>
    <xf numFmtId="0" fontId="7" fillId="2" borderId="0" xfId="0" applyFont="1" applyFill="1"/>
    <xf numFmtId="2" fontId="7" fillId="2" borderId="0" xfId="0" applyNumberFormat="1" applyFont="1" applyFill="1"/>
    <xf numFmtId="167" fontId="7" fillId="2" borderId="0" xfId="4" applyNumberFormat="1" applyFont="1" applyFill="1"/>
    <xf numFmtId="0" fontId="9" fillId="3" borderId="39" xfId="0" applyFont="1" applyFill="1" applyBorder="1" applyAlignment="1">
      <alignment horizontal="center" vertical="center" wrapText="1"/>
    </xf>
    <xf numFmtId="0" fontId="9" fillId="3" borderId="26" xfId="0" applyFont="1" applyFill="1" applyBorder="1" applyAlignment="1">
      <alignment horizontal="center" vertical="center" wrapText="1"/>
    </xf>
    <xf numFmtId="1" fontId="6" fillId="2" borderId="29" xfId="0" applyNumberFormat="1" applyFont="1" applyFill="1" applyBorder="1" applyAlignment="1">
      <alignment horizontal="center" vertical="center" wrapText="1"/>
    </xf>
    <xf numFmtId="0" fontId="7" fillId="2" borderId="0" xfId="0" applyFont="1" applyFill="1" applyBorder="1"/>
    <xf numFmtId="0" fontId="7" fillId="4" borderId="16" xfId="0" applyFont="1" applyFill="1" applyBorder="1"/>
    <xf numFmtId="0" fontId="7" fillId="4" borderId="9" xfId="0" applyFont="1" applyFill="1" applyBorder="1"/>
    <xf numFmtId="0" fontId="7" fillId="4" borderId="14" xfId="0" applyFont="1" applyFill="1" applyBorder="1"/>
    <xf numFmtId="0" fontId="7" fillId="4" borderId="5" xfId="0" applyFont="1" applyFill="1" applyBorder="1"/>
    <xf numFmtId="0" fontId="7" fillId="4" borderId="15" xfId="0" applyFont="1" applyFill="1" applyBorder="1"/>
    <xf numFmtId="0" fontId="7" fillId="4" borderId="7" xfId="0" applyFont="1" applyFill="1" applyBorder="1"/>
    <xf numFmtId="174" fontId="6" fillId="4" borderId="16" xfId="3" applyNumberFormat="1" applyFont="1" applyFill="1" applyBorder="1"/>
    <xf numFmtId="174" fontId="7" fillId="4" borderId="9" xfId="0" applyNumberFormat="1" applyFont="1" applyFill="1" applyBorder="1"/>
    <xf numFmtId="174" fontId="7" fillId="4" borderId="14" xfId="0" applyNumberFormat="1" applyFont="1" applyFill="1" applyBorder="1"/>
    <xf numFmtId="174" fontId="7" fillId="4" borderId="5" xfId="0" applyNumberFormat="1" applyFont="1" applyFill="1" applyBorder="1"/>
    <xf numFmtId="174" fontId="7" fillId="4" borderId="15" xfId="0" applyNumberFormat="1" applyFont="1" applyFill="1" applyBorder="1"/>
    <xf numFmtId="174" fontId="7" fillId="4" borderId="7" xfId="0" applyNumberFormat="1" applyFont="1" applyFill="1" applyBorder="1"/>
    <xf numFmtId="174" fontId="7" fillId="4" borderId="16" xfId="0" applyNumberFormat="1" applyFont="1" applyFill="1" applyBorder="1"/>
    <xf numFmtId="174" fontId="6" fillId="4" borderId="11" xfId="3" applyNumberFormat="1" applyFont="1" applyFill="1" applyBorder="1"/>
    <xf numFmtId="173" fontId="7" fillId="4" borderId="7" xfId="0" applyNumberFormat="1" applyFont="1" applyFill="1" applyBorder="1"/>
    <xf numFmtId="174" fontId="6" fillId="4" borderId="18" xfId="0" applyNumberFormat="1" applyFont="1" applyFill="1" applyBorder="1"/>
    <xf numFmtId="173" fontId="7" fillId="4" borderId="13" xfId="0" applyNumberFormat="1" applyFont="1" applyFill="1" applyBorder="1"/>
    <xf numFmtId="174" fontId="6" fillId="4" borderId="5" xfId="3" applyNumberFormat="1" applyFont="1" applyFill="1" applyBorder="1"/>
    <xf numFmtId="173" fontId="7" fillId="4" borderId="9" xfId="0" applyNumberFormat="1" applyFont="1" applyFill="1" applyBorder="1"/>
    <xf numFmtId="173" fontId="6" fillId="4" borderId="5" xfId="3" applyNumberFormat="1" applyFont="1" applyFill="1" applyBorder="1"/>
    <xf numFmtId="173" fontId="6" fillId="4" borderId="16" xfId="0" applyNumberFormat="1" applyFont="1" applyFill="1" applyBorder="1"/>
    <xf numFmtId="173" fontId="6" fillId="4" borderId="18" xfId="0" applyNumberFormat="1" applyFont="1" applyFill="1" applyBorder="1"/>
    <xf numFmtId="0" fontId="7" fillId="5" borderId="16" xfId="0" applyFont="1" applyFill="1" applyBorder="1"/>
    <xf numFmtId="0" fontId="7" fillId="5" borderId="9" xfId="0" applyFont="1" applyFill="1" applyBorder="1"/>
    <xf numFmtId="0" fontId="7" fillId="5" borderId="14" xfId="0" applyFont="1" applyFill="1" applyBorder="1"/>
    <xf numFmtId="0" fontId="7" fillId="5" borderId="5" xfId="0" applyFont="1" applyFill="1" applyBorder="1"/>
    <xf numFmtId="0" fontId="7" fillId="5" borderId="15" xfId="0" applyFont="1" applyFill="1" applyBorder="1"/>
    <xf numFmtId="0" fontId="7" fillId="5" borderId="7" xfId="0" applyFont="1" applyFill="1" applyBorder="1"/>
    <xf numFmtId="173" fontId="6" fillId="5" borderId="16" xfId="3" applyNumberFormat="1" applyFont="1" applyFill="1" applyBorder="1"/>
    <xf numFmtId="173" fontId="7" fillId="5" borderId="9" xfId="0" applyNumberFormat="1" applyFont="1" applyFill="1" applyBorder="1"/>
    <xf numFmtId="173" fontId="7" fillId="5" borderId="5" xfId="0" applyNumberFormat="1" applyFont="1" applyFill="1" applyBorder="1"/>
    <xf numFmtId="173" fontId="7" fillId="5" borderId="7" xfId="0" applyNumberFormat="1" applyFont="1" applyFill="1" applyBorder="1"/>
    <xf numFmtId="173" fontId="6" fillId="5" borderId="11" xfId="3" applyNumberFormat="1" applyFont="1" applyFill="1" applyBorder="1"/>
    <xf numFmtId="173" fontId="6" fillId="5" borderId="18" xfId="0" applyNumberFormat="1" applyFont="1" applyFill="1" applyBorder="1"/>
    <xf numFmtId="173" fontId="7" fillId="5" borderId="13" xfId="0" applyNumberFormat="1" applyFont="1" applyFill="1" applyBorder="1"/>
    <xf numFmtId="173" fontId="6" fillId="5" borderId="5" xfId="3" applyNumberFormat="1" applyFont="1" applyFill="1" applyBorder="1"/>
    <xf numFmtId="173" fontId="6" fillId="5" borderId="16" xfId="0" applyNumberFormat="1" applyFont="1" applyFill="1" applyBorder="1"/>
    <xf numFmtId="167" fontId="7" fillId="5" borderId="15" xfId="4" applyNumberFormat="1" applyFont="1" applyFill="1" applyBorder="1"/>
    <xf numFmtId="0" fontId="7" fillId="5" borderId="17" xfId="0" applyFont="1" applyFill="1" applyBorder="1"/>
    <xf numFmtId="174" fontId="6" fillId="5" borderId="16" xfId="3" applyNumberFormat="1" applyFont="1" applyFill="1" applyBorder="1"/>
    <xf numFmtId="174" fontId="7" fillId="5" borderId="9" xfId="0" applyNumberFormat="1" applyFont="1" applyFill="1" applyBorder="1"/>
    <xf numFmtId="174" fontId="7" fillId="5" borderId="14" xfId="0" applyNumberFormat="1" applyFont="1" applyFill="1" applyBorder="1"/>
    <xf numFmtId="174" fontId="7" fillId="5" borderId="5" xfId="0" applyNumberFormat="1" applyFont="1" applyFill="1" applyBorder="1"/>
    <xf numFmtId="174" fontId="7" fillId="5" borderId="15" xfId="0" applyNumberFormat="1" applyFont="1" applyFill="1" applyBorder="1"/>
    <xf numFmtId="174" fontId="7" fillId="5" borderId="7" xfId="0" applyNumberFormat="1" applyFont="1" applyFill="1" applyBorder="1"/>
    <xf numFmtId="174" fontId="7" fillId="5" borderId="16" xfId="0" applyNumberFormat="1" applyFont="1" applyFill="1" applyBorder="1"/>
    <xf numFmtId="174" fontId="6" fillId="5" borderId="11" xfId="3" applyNumberFormat="1" applyFont="1" applyFill="1" applyBorder="1"/>
    <xf numFmtId="174" fontId="6" fillId="5" borderId="18" xfId="0" applyNumberFormat="1" applyFont="1" applyFill="1" applyBorder="1"/>
    <xf numFmtId="174" fontId="6" fillId="5" borderId="5" xfId="3" applyNumberFormat="1" applyFont="1" applyFill="1" applyBorder="1"/>
    <xf numFmtId="173" fontId="6" fillId="4" borderId="16" xfId="3" applyNumberFormat="1" applyFont="1" applyFill="1" applyBorder="1"/>
    <xf numFmtId="173" fontId="7" fillId="4" borderId="5" xfId="0" applyNumberFormat="1" applyFont="1" applyFill="1" applyBorder="1"/>
    <xf numFmtId="173" fontId="6" fillId="4" borderId="11" xfId="3" applyNumberFormat="1" applyFont="1" applyFill="1" applyBorder="1"/>
    <xf numFmtId="167" fontId="7" fillId="4" borderId="15" xfId="4" applyNumberFormat="1" applyFont="1" applyFill="1" applyBorder="1"/>
    <xf numFmtId="17" fontId="7" fillId="6" borderId="19" xfId="0" applyNumberFormat="1" applyFont="1" applyFill="1" applyBorder="1"/>
    <xf numFmtId="2" fontId="7" fillId="6" borderId="19" xfId="0" applyNumberFormat="1" applyFont="1" applyFill="1" applyBorder="1"/>
    <xf numFmtId="167" fontId="7" fillId="6" borderId="26" xfId="4" applyNumberFormat="1" applyFont="1" applyFill="1" applyBorder="1"/>
    <xf numFmtId="17" fontId="7" fillId="6" borderId="4" xfId="0" applyNumberFormat="1" applyFont="1" applyFill="1" applyBorder="1"/>
    <xf numFmtId="2" fontId="7" fillId="6" borderId="10" xfId="0" applyNumberFormat="1" applyFont="1" applyFill="1" applyBorder="1" applyAlignment="1"/>
    <xf numFmtId="167" fontId="7" fillId="6" borderId="11" xfId="4" applyNumberFormat="1" applyFont="1" applyFill="1" applyBorder="1"/>
    <xf numFmtId="17" fontId="7" fillId="6" borderId="6" xfId="0" applyNumberFormat="1" applyFont="1" applyFill="1" applyBorder="1"/>
    <xf numFmtId="2" fontId="7" fillId="6" borderId="6" xfId="0" applyNumberFormat="1" applyFont="1" applyFill="1" applyBorder="1"/>
    <xf numFmtId="167" fontId="7" fillId="6" borderId="7" xfId="4" applyNumberFormat="1" applyFont="1" applyFill="1" applyBorder="1"/>
    <xf numFmtId="17" fontId="7" fillId="6" borderId="8" xfId="0" applyNumberFormat="1" applyFont="1" applyFill="1" applyBorder="1"/>
    <xf numFmtId="2" fontId="7" fillId="6" borderId="25" xfId="0" applyNumberFormat="1" applyFont="1" applyFill="1" applyBorder="1"/>
    <xf numFmtId="167" fontId="7" fillId="6" borderId="28" xfId="4" applyNumberFormat="1" applyFont="1" applyFill="1" applyBorder="1"/>
    <xf numFmtId="2" fontId="7" fillId="6" borderId="4" xfId="0" applyNumberFormat="1" applyFont="1" applyFill="1" applyBorder="1"/>
    <xf numFmtId="168" fontId="7" fillId="6" borderId="4" xfId="0" applyNumberFormat="1" applyFont="1" applyFill="1" applyBorder="1"/>
    <xf numFmtId="167" fontId="7" fillId="6" borderId="5" xfId="4" applyNumberFormat="1" applyFont="1" applyFill="1" applyBorder="1"/>
    <xf numFmtId="2" fontId="7" fillId="6" borderId="8" xfId="0" applyNumberFormat="1" applyFont="1" applyFill="1" applyBorder="1"/>
    <xf numFmtId="167" fontId="7" fillId="6" borderId="9" xfId="4" applyNumberFormat="1" applyFont="1" applyFill="1" applyBorder="1"/>
    <xf numFmtId="167" fontId="7" fillId="6" borderId="13" xfId="4" applyNumberFormat="1" applyFont="1" applyFill="1" applyBorder="1"/>
    <xf numFmtId="167" fontId="7" fillId="6" borderId="3" xfId="4" applyNumberFormat="1" applyFont="1" applyFill="1" applyBorder="1"/>
    <xf numFmtId="17" fontId="7" fillId="6" borderId="12" xfId="0" applyNumberFormat="1" applyFont="1" applyFill="1" applyBorder="1"/>
    <xf numFmtId="2" fontId="7" fillId="6" borderId="12" xfId="0" applyNumberFormat="1" applyFont="1" applyFill="1" applyBorder="1"/>
    <xf numFmtId="2" fontId="7" fillId="6" borderId="2" xfId="0" applyNumberFormat="1" applyFont="1" applyFill="1" applyBorder="1"/>
    <xf numFmtId="173" fontId="6" fillId="5" borderId="15" xfId="0" applyNumberFormat="1" applyFont="1" applyFill="1" applyBorder="1"/>
    <xf numFmtId="173" fontId="6" fillId="5" borderId="7" xfId="0" applyNumberFormat="1" applyFont="1" applyFill="1" applyBorder="1"/>
    <xf numFmtId="173" fontId="7" fillId="5" borderId="18" xfId="0" applyNumberFormat="1" applyFont="1" applyFill="1" applyBorder="1"/>
    <xf numFmtId="173" fontId="7" fillId="5" borderId="15" xfId="0" applyNumberFormat="1" applyFont="1" applyFill="1" applyBorder="1"/>
    <xf numFmtId="173" fontId="7" fillId="5" borderId="35" xfId="0" applyNumberFormat="1" applyFont="1" applyFill="1" applyBorder="1"/>
    <xf numFmtId="173" fontId="7" fillId="5" borderId="43" xfId="0" applyNumberFormat="1" applyFont="1" applyFill="1" applyBorder="1"/>
    <xf numFmtId="173" fontId="6" fillId="5" borderId="14" xfId="0" applyNumberFormat="1" applyFont="1" applyFill="1" applyBorder="1"/>
    <xf numFmtId="173" fontId="6" fillId="5" borderId="20" xfId="0" applyNumberFormat="1" applyFont="1" applyFill="1" applyBorder="1"/>
    <xf numFmtId="173" fontId="7" fillId="5" borderId="21" xfId="0" applyNumberFormat="1" applyFont="1" applyFill="1" applyBorder="1"/>
    <xf numFmtId="173" fontId="6" fillId="4" borderId="15" xfId="0" applyNumberFormat="1" applyFont="1" applyFill="1" applyBorder="1"/>
    <xf numFmtId="173" fontId="6" fillId="4" borderId="36" xfId="0" applyNumberFormat="1" applyFont="1" applyFill="1" applyBorder="1"/>
    <xf numFmtId="173" fontId="7" fillId="4" borderId="18" xfId="0" applyNumberFormat="1" applyFont="1" applyFill="1" applyBorder="1"/>
    <xf numFmtId="173" fontId="7" fillId="4" borderId="15" xfId="0" applyNumberFormat="1" applyFont="1" applyFill="1" applyBorder="1"/>
    <xf numFmtId="173" fontId="7" fillId="4" borderId="35" xfId="0" applyNumberFormat="1" applyFont="1" applyFill="1" applyBorder="1"/>
    <xf numFmtId="173" fontId="7" fillId="4" borderId="43" xfId="0" applyNumberFormat="1" applyFont="1" applyFill="1" applyBorder="1"/>
    <xf numFmtId="173" fontId="6" fillId="4" borderId="20" xfId="0" applyNumberFormat="1" applyFont="1" applyFill="1" applyBorder="1"/>
    <xf numFmtId="173" fontId="7" fillId="4" borderId="21" xfId="0" applyNumberFormat="1" applyFont="1" applyFill="1" applyBorder="1"/>
    <xf numFmtId="173" fontId="7" fillId="4" borderId="23" xfId="0" applyNumberFormat="1" applyFont="1" applyFill="1" applyBorder="1"/>
    <xf numFmtId="0" fontId="7" fillId="5" borderId="27" xfId="0" applyFont="1" applyFill="1" applyBorder="1"/>
    <xf numFmtId="173" fontId="7" fillId="5" borderId="26" xfId="0" applyNumberFormat="1" applyFont="1" applyFill="1" applyBorder="1"/>
    <xf numFmtId="173" fontId="7" fillId="5" borderId="9" xfId="3" applyNumberFormat="1" applyFont="1" applyFill="1" applyBorder="1"/>
    <xf numFmtId="173" fontId="7" fillId="5" borderId="14" xfId="3" applyNumberFormat="1" applyFont="1" applyFill="1" applyBorder="1"/>
    <xf numFmtId="173" fontId="7" fillId="5" borderId="5" xfId="3" applyNumberFormat="1" applyFont="1" applyFill="1" applyBorder="1"/>
    <xf numFmtId="173" fontId="7" fillId="5" borderId="15" xfId="3" applyNumberFormat="1" applyFont="1" applyFill="1" applyBorder="1"/>
    <xf numFmtId="173" fontId="7" fillId="5" borderId="7" xfId="3" applyNumberFormat="1" applyFont="1" applyFill="1" applyBorder="1"/>
    <xf numFmtId="173" fontId="7" fillId="5" borderId="16" xfId="3" applyNumberFormat="1" applyFont="1" applyFill="1" applyBorder="1"/>
    <xf numFmtId="173" fontId="7" fillId="5" borderId="18" xfId="3" applyNumberFormat="1" applyFont="1" applyFill="1" applyBorder="1"/>
    <xf numFmtId="173" fontId="7" fillId="5" borderId="1" xfId="3" applyNumberFormat="1" applyFont="1" applyFill="1" applyBorder="1"/>
    <xf numFmtId="173" fontId="7" fillId="5" borderId="3" xfId="3" applyNumberFormat="1" applyFont="1" applyFill="1" applyBorder="1"/>
    <xf numFmtId="173" fontId="7" fillId="5" borderId="17" xfId="3" applyNumberFormat="1" applyFont="1" applyFill="1" applyBorder="1"/>
    <xf numFmtId="173" fontId="7" fillId="5" borderId="11" xfId="3" applyNumberFormat="1" applyFont="1" applyFill="1" applyBorder="1"/>
    <xf numFmtId="173" fontId="6" fillId="5" borderId="18" xfId="3" applyNumberFormat="1" applyFont="1" applyFill="1" applyBorder="1"/>
    <xf numFmtId="173" fontId="6" fillId="5" borderId="13" xfId="3" applyNumberFormat="1" applyFont="1" applyFill="1" applyBorder="1"/>
    <xf numFmtId="173" fontId="7" fillId="5" borderId="16" xfId="0" applyNumberFormat="1" applyFont="1" applyFill="1" applyBorder="1"/>
    <xf numFmtId="173" fontId="7" fillId="5" borderId="36" xfId="0" applyNumberFormat="1" applyFont="1" applyFill="1" applyBorder="1"/>
    <xf numFmtId="173" fontId="6" fillId="5" borderId="1" xfId="3" applyNumberFormat="1" applyFont="1" applyFill="1" applyBorder="1"/>
    <xf numFmtId="0" fontId="7" fillId="8" borderId="0" xfId="0" applyFont="1" applyFill="1"/>
    <xf numFmtId="0" fontId="7" fillId="4" borderId="27" xfId="0" applyFont="1" applyFill="1" applyBorder="1"/>
    <xf numFmtId="173" fontId="7" fillId="4" borderId="39" xfId="0" applyNumberFormat="1" applyFont="1" applyFill="1" applyBorder="1"/>
    <xf numFmtId="173" fontId="7" fillId="4" borderId="31" xfId="0" applyNumberFormat="1" applyFont="1" applyFill="1" applyBorder="1"/>
    <xf numFmtId="173" fontId="7" fillId="4" borderId="30" xfId="0" applyNumberFormat="1" applyFont="1" applyFill="1" applyBorder="1"/>
    <xf numFmtId="173" fontId="7" fillId="4" borderId="21" xfId="3" applyNumberFormat="1" applyFont="1" applyFill="1" applyBorder="1"/>
    <xf numFmtId="173" fontId="7" fillId="4" borderId="32" xfId="3" applyNumberFormat="1" applyFont="1" applyFill="1" applyBorder="1"/>
    <xf numFmtId="173" fontId="7" fillId="4" borderId="9" xfId="3" applyNumberFormat="1" applyFont="1" applyFill="1" applyBorder="1"/>
    <xf numFmtId="173" fontId="7" fillId="4" borderId="14" xfId="3" applyNumberFormat="1" applyFont="1" applyFill="1" applyBorder="1"/>
    <xf numFmtId="173" fontId="7" fillId="4" borderId="31" xfId="3" applyNumberFormat="1" applyFont="1" applyFill="1" applyBorder="1"/>
    <xf numFmtId="173" fontId="7" fillId="4" borderId="11" xfId="3" applyNumberFormat="1" applyFont="1" applyFill="1" applyBorder="1"/>
    <xf numFmtId="173" fontId="7" fillId="4" borderId="15" xfId="3" applyNumberFormat="1" applyFont="1" applyFill="1" applyBorder="1"/>
    <xf numFmtId="173" fontId="7" fillId="4" borderId="30" xfId="3" applyNumberFormat="1" applyFont="1" applyFill="1" applyBorder="1"/>
    <xf numFmtId="173" fontId="7" fillId="4" borderId="7" xfId="3" applyNumberFormat="1" applyFont="1" applyFill="1" applyBorder="1"/>
    <xf numFmtId="173" fontId="7" fillId="4" borderId="18" xfId="3" applyNumberFormat="1" applyFont="1" applyFill="1" applyBorder="1"/>
    <xf numFmtId="173" fontId="7" fillId="4" borderId="37" xfId="3" applyNumberFormat="1" applyFont="1" applyFill="1" applyBorder="1"/>
    <xf numFmtId="173" fontId="7" fillId="4" borderId="38" xfId="3" applyNumberFormat="1" applyFont="1" applyFill="1" applyBorder="1"/>
    <xf numFmtId="173" fontId="6" fillId="4" borderId="14" xfId="3" applyNumberFormat="1" applyFont="1" applyFill="1" applyBorder="1"/>
    <xf numFmtId="173" fontId="7" fillId="4" borderId="16" xfId="3" applyNumberFormat="1" applyFont="1" applyFill="1" applyBorder="1"/>
    <xf numFmtId="173" fontId="7" fillId="4" borderId="13" xfId="3" applyNumberFormat="1" applyFont="1" applyFill="1" applyBorder="1"/>
    <xf numFmtId="173" fontId="6" fillId="4" borderId="31" xfId="3" applyNumberFormat="1" applyFont="1" applyFill="1" applyBorder="1"/>
    <xf numFmtId="173" fontId="7" fillId="4" borderId="32" xfId="0" applyNumberFormat="1" applyFont="1" applyFill="1" applyBorder="1"/>
    <xf numFmtId="173" fontId="6" fillId="4" borderId="30" xfId="0" applyNumberFormat="1" applyFont="1" applyFill="1" applyBorder="1"/>
    <xf numFmtId="173" fontId="6" fillId="4" borderId="4" xfId="3" applyNumberFormat="1" applyFont="1" applyFill="1" applyBorder="1"/>
    <xf numFmtId="173" fontId="6" fillId="4" borderId="40" xfId="0" applyNumberFormat="1" applyFont="1" applyFill="1" applyBorder="1"/>
    <xf numFmtId="173" fontId="7" fillId="4" borderId="37" xfId="0" applyNumberFormat="1" applyFont="1" applyFill="1" applyBorder="1"/>
    <xf numFmtId="173" fontId="6" fillId="4" borderId="34" xfId="0" applyNumberFormat="1" applyFont="1" applyFill="1" applyBorder="1"/>
    <xf numFmtId="173" fontId="6" fillId="4" borderId="5" xfId="0" applyNumberFormat="1" applyFont="1" applyFill="1" applyBorder="1"/>
    <xf numFmtId="173" fontId="7" fillId="4" borderId="22" xfId="0" applyNumberFormat="1" applyFont="1" applyFill="1" applyBorder="1"/>
    <xf numFmtId="173" fontId="6" fillId="5" borderId="5" xfId="0" applyNumberFormat="1" applyFont="1" applyFill="1" applyBorder="1"/>
    <xf numFmtId="173" fontId="7" fillId="5" borderId="22" xfId="0" applyNumberFormat="1" applyFont="1" applyFill="1" applyBorder="1"/>
    <xf numFmtId="173" fontId="6" fillId="5" borderId="4" xfId="0" applyNumberFormat="1" applyFont="1" applyFill="1" applyBorder="1"/>
    <xf numFmtId="173" fontId="7" fillId="5" borderId="6" xfId="0" applyNumberFormat="1" applyFont="1" applyFill="1" applyBorder="1"/>
    <xf numFmtId="173" fontId="7" fillId="5" borderId="8" xfId="0" applyNumberFormat="1" applyFont="1" applyFill="1" applyBorder="1"/>
    <xf numFmtId="173" fontId="6" fillId="4" borderId="14" xfId="0" applyNumberFormat="1" applyFont="1" applyFill="1" applyBorder="1"/>
    <xf numFmtId="173" fontId="6" fillId="4" borderId="4" xfId="0" applyNumberFormat="1" applyFont="1" applyFill="1" applyBorder="1"/>
    <xf numFmtId="173" fontId="7" fillId="4" borderId="6" xfId="0" applyNumberFormat="1" applyFont="1" applyFill="1" applyBorder="1"/>
    <xf numFmtId="173" fontId="7" fillId="4" borderId="16" xfId="0" applyNumberFormat="1" applyFont="1" applyFill="1" applyBorder="1"/>
    <xf numFmtId="173" fontId="7" fillId="4" borderId="8" xfId="0" applyNumberFormat="1" applyFont="1" applyFill="1" applyBorder="1"/>
    <xf numFmtId="15" fontId="7" fillId="7" borderId="6" xfId="0" applyNumberFormat="1" applyFont="1" applyFill="1" applyBorder="1" applyAlignment="1">
      <alignment horizontal="right"/>
    </xf>
    <xf numFmtId="2" fontId="7" fillId="7" borderId="6" xfId="0" applyNumberFormat="1" applyFont="1" applyFill="1" applyBorder="1"/>
    <xf numFmtId="167" fontId="7" fillId="7" borderId="7" xfId="4" applyNumberFormat="1" applyFont="1" applyFill="1" applyBorder="1"/>
    <xf numFmtId="0" fontId="7" fillId="7" borderId="0" xfId="0" applyFont="1" applyFill="1"/>
    <xf numFmtId="0" fontId="7" fillId="7" borderId="15" xfId="0" applyFont="1" applyFill="1" applyBorder="1"/>
    <xf numFmtId="173" fontId="7" fillId="7" borderId="7" xfId="0" applyNumberFormat="1" applyFont="1" applyFill="1" applyBorder="1"/>
    <xf numFmtId="173" fontId="7" fillId="7" borderId="21" xfId="0" applyNumberFormat="1" applyFont="1" applyFill="1" applyBorder="1"/>
    <xf numFmtId="173" fontId="7" fillId="7" borderId="18" xfId="3" applyNumberFormat="1" applyFont="1" applyFill="1" applyBorder="1"/>
    <xf numFmtId="173" fontId="7" fillId="7" borderId="30" xfId="0" applyNumberFormat="1" applyFont="1" applyFill="1" applyBorder="1"/>
    <xf numFmtId="173" fontId="7" fillId="7" borderId="15" xfId="0" applyNumberFormat="1" applyFont="1" applyFill="1" applyBorder="1"/>
    <xf numFmtId="173" fontId="7" fillId="7" borderId="6" xfId="0" applyNumberFormat="1" applyFont="1" applyFill="1" applyBorder="1"/>
    <xf numFmtId="173" fontId="6" fillId="7" borderId="15" xfId="0" applyNumberFormat="1" applyFont="1" applyFill="1" applyBorder="1"/>
    <xf numFmtId="173" fontId="6" fillId="7" borderId="6" xfId="0" applyNumberFormat="1" applyFont="1" applyFill="1" applyBorder="1"/>
    <xf numFmtId="173" fontId="6" fillId="7" borderId="7" xfId="0" applyNumberFormat="1" applyFont="1" applyFill="1" applyBorder="1"/>
    <xf numFmtId="173" fontId="6" fillId="7" borderId="14" xfId="0" applyNumberFormat="1" applyFont="1" applyFill="1" applyBorder="1"/>
    <xf numFmtId="173" fontId="6" fillId="7" borderId="4" xfId="0" applyNumberFormat="1" applyFont="1" applyFill="1" applyBorder="1"/>
    <xf numFmtId="173" fontId="6" fillId="7" borderId="5" xfId="0" applyNumberFormat="1" applyFont="1" applyFill="1" applyBorder="1"/>
    <xf numFmtId="17" fontId="2" fillId="7" borderId="6" xfId="0" applyNumberFormat="1" applyFont="1" applyFill="1" applyBorder="1"/>
    <xf numFmtId="0" fontId="7" fillId="8" borderId="0" xfId="0" applyFont="1" applyFill="1" applyBorder="1"/>
    <xf numFmtId="0" fontId="7" fillId="8" borderId="0" xfId="0" applyFont="1" applyFill="1" applyAlignment="1">
      <alignment vertical="center" wrapText="1"/>
    </xf>
    <xf numFmtId="0" fontId="7" fillId="8" borderId="0" xfId="0" applyFont="1" applyFill="1" applyAlignment="1">
      <alignment vertical="center"/>
    </xf>
    <xf numFmtId="164" fontId="7" fillId="8" borderId="0" xfId="2" applyFont="1" applyFill="1"/>
    <xf numFmtId="173" fontId="2" fillId="7" borderId="7" xfId="0" applyNumberFormat="1" applyFont="1" applyFill="1" applyBorder="1"/>
    <xf numFmtId="173" fontId="2" fillId="7" borderId="9" xfId="0" applyNumberFormat="1" applyFont="1" applyFill="1" applyBorder="1"/>
    <xf numFmtId="173" fontId="7" fillId="7" borderId="9" xfId="0" applyNumberFormat="1" applyFont="1" applyFill="1" applyBorder="1"/>
    <xf numFmtId="1" fontId="6"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167" fontId="7" fillId="2" borderId="0" xfId="4" applyNumberFormat="1" applyFont="1" applyFill="1" applyAlignment="1">
      <alignment horizontal="center" vertical="center" wrapText="1"/>
    </xf>
    <xf numFmtId="0" fontId="7" fillId="8" borderId="0" xfId="0" applyFont="1" applyFill="1" applyAlignment="1">
      <alignment horizontal="center" vertical="center" wrapText="1"/>
    </xf>
    <xf numFmtId="173" fontId="6" fillId="7" borderId="16" xfId="0" applyNumberFormat="1" applyFont="1" applyFill="1" applyBorder="1"/>
    <xf numFmtId="173" fontId="7" fillId="7" borderId="32" xfId="0" applyNumberFormat="1" applyFont="1" applyFill="1" applyBorder="1"/>
    <xf numFmtId="17" fontId="7" fillId="6" borderId="2" xfId="0" applyNumberFormat="1" applyFont="1" applyFill="1" applyBorder="1"/>
    <xf numFmtId="175" fontId="3" fillId="4" borderId="14" xfId="5" applyNumberFormat="1" applyFont="1" applyFill="1" applyBorder="1"/>
    <xf numFmtId="10" fontId="7" fillId="2" borderId="0" xfId="0" applyNumberFormat="1" applyFont="1" applyFill="1"/>
    <xf numFmtId="173" fontId="6" fillId="8" borderId="0" xfId="3" applyNumberFormat="1" applyFont="1" applyFill="1" applyBorder="1"/>
    <xf numFmtId="173" fontId="7" fillId="4" borderId="17" xfId="0" applyNumberFormat="1" applyFont="1" applyFill="1" applyBorder="1"/>
    <xf numFmtId="173" fontId="7" fillId="4" borderId="11" xfId="0" applyNumberFormat="1" applyFont="1" applyFill="1" applyBorder="1"/>
    <xf numFmtId="173" fontId="2" fillId="5" borderId="7" xfId="0" applyNumberFormat="1" applyFont="1" applyFill="1" applyBorder="1"/>
    <xf numFmtId="173" fontId="2" fillId="5" borderId="7" xfId="3" applyNumberFormat="1" applyFont="1" applyFill="1" applyBorder="1"/>
    <xf numFmtId="173" fontId="2" fillId="5" borderId="9" xfId="3" applyNumberFormat="1" applyFont="1" applyFill="1" applyBorder="1"/>
    <xf numFmtId="173" fontId="6" fillId="5" borderId="14" xfId="3" applyNumberFormat="1" applyFont="1" applyFill="1" applyBorder="1"/>
    <xf numFmtId="0" fontId="3" fillId="5" borderId="14" xfId="0" applyFont="1" applyFill="1" applyBorder="1"/>
    <xf numFmtId="173" fontId="6" fillId="5" borderId="17" xfId="0" applyNumberFormat="1" applyFont="1" applyFill="1" applyBorder="1"/>
    <xf numFmtId="173" fontId="3" fillId="4" borderId="14" xfId="0" applyNumberFormat="1" applyFont="1" applyFill="1" applyBorder="1"/>
    <xf numFmtId="0" fontId="0" fillId="8" borderId="0" xfId="0" applyFill="1"/>
    <xf numFmtId="173" fontId="3" fillId="7" borderId="21" xfId="0" applyNumberFormat="1" applyFont="1" applyFill="1" applyBorder="1"/>
    <xf numFmtId="173" fontId="2" fillId="4" borderId="7" xfId="0" applyNumberFormat="1" applyFont="1" applyFill="1" applyBorder="1"/>
    <xf numFmtId="173" fontId="3" fillId="5" borderId="14" xfId="0" applyNumberFormat="1" applyFont="1" applyFill="1" applyBorder="1"/>
    <xf numFmtId="173" fontId="2" fillId="5" borderId="5" xfId="0" applyNumberFormat="1" applyFont="1" applyFill="1" applyBorder="1"/>
    <xf numFmtId="173" fontId="2" fillId="5" borderId="9" xfId="0" applyNumberFormat="1" applyFont="1" applyFill="1" applyBorder="1"/>
    <xf numFmtId="4" fontId="3" fillId="4" borderId="14" xfId="0" applyNumberFormat="1" applyFont="1" applyFill="1" applyBorder="1"/>
    <xf numFmtId="4" fontId="2" fillId="4" borderId="5" xfId="0" applyNumberFormat="1" applyFont="1" applyFill="1" applyBorder="1"/>
    <xf numFmtId="4" fontId="2" fillId="4" borderId="7" xfId="0" applyNumberFormat="1" applyFont="1" applyFill="1" applyBorder="1"/>
    <xf numFmtId="173" fontId="3" fillId="5" borderId="5" xfId="0" applyNumberFormat="1" applyFont="1" applyFill="1" applyBorder="1"/>
    <xf numFmtId="173" fontId="6" fillId="5" borderId="27" xfId="0" applyNumberFormat="1" applyFont="1" applyFill="1" applyBorder="1"/>
    <xf numFmtId="173" fontId="7" fillId="5" borderId="28" xfId="0" applyNumberFormat="1" applyFont="1" applyFill="1" applyBorder="1"/>
    <xf numFmtId="173" fontId="6" fillId="4" borderId="27" xfId="0" applyNumberFormat="1" applyFont="1" applyFill="1" applyBorder="1"/>
    <xf numFmtId="173" fontId="7" fillId="4" borderId="26" xfId="0" applyNumberFormat="1" applyFont="1" applyFill="1" applyBorder="1"/>
    <xf numFmtId="173" fontId="6" fillId="4" borderId="7" xfId="0" applyNumberFormat="1" applyFont="1" applyFill="1" applyBorder="1"/>
    <xf numFmtId="173" fontId="7" fillId="4" borderId="28" xfId="0" applyNumberFormat="1" applyFont="1" applyFill="1" applyBorder="1"/>
    <xf numFmtId="173" fontId="7" fillId="5" borderId="13" xfId="3" applyNumberFormat="1" applyFont="1" applyFill="1" applyBorder="1"/>
    <xf numFmtId="173" fontId="7" fillId="7" borderId="13" xfId="3" applyNumberFormat="1" applyFont="1" applyFill="1" applyBorder="1"/>
    <xf numFmtId="173" fontId="7" fillId="7" borderId="16" xfId="3" applyNumberFormat="1" applyFont="1" applyFill="1" applyBorder="1"/>
    <xf numFmtId="173" fontId="7" fillId="7" borderId="9" xfId="3" applyNumberFormat="1" applyFont="1" applyFill="1" applyBorder="1"/>
    <xf numFmtId="173" fontId="7" fillId="7" borderId="36" xfId="0" applyNumberFormat="1" applyFont="1" applyFill="1" applyBorder="1"/>
    <xf numFmtId="173" fontId="7" fillId="4" borderId="3" xfId="0" applyNumberFormat="1" applyFont="1" applyFill="1" applyBorder="1"/>
    <xf numFmtId="173" fontId="2" fillId="5" borderId="11" xfId="0" applyNumberFormat="1" applyFont="1" applyFill="1" applyBorder="1"/>
    <xf numFmtId="173" fontId="6" fillId="7" borderId="17" xfId="0" applyNumberFormat="1" applyFont="1" applyFill="1" applyBorder="1"/>
    <xf numFmtId="173" fontId="6" fillId="7" borderId="11" xfId="0" applyNumberFormat="1" applyFont="1" applyFill="1" applyBorder="1"/>
    <xf numFmtId="173" fontId="6" fillId="4" borderId="34" xfId="3" applyNumberFormat="1" applyFont="1" applyFill="1" applyBorder="1"/>
    <xf numFmtId="173" fontId="3" fillId="7" borderId="7" xfId="0" applyNumberFormat="1" applyFont="1" applyFill="1" applyBorder="1"/>
    <xf numFmtId="0" fontId="3" fillId="3" borderId="26" xfId="0" applyFont="1" applyFill="1" applyBorder="1" applyAlignment="1">
      <alignment horizontal="center" vertical="center" wrapText="1"/>
    </xf>
    <xf numFmtId="17" fontId="2" fillId="6" borderId="6" xfId="0" applyNumberFormat="1" applyFont="1" applyFill="1" applyBorder="1"/>
    <xf numFmtId="173" fontId="2" fillId="4" borderId="9" xfId="0" applyNumberFormat="1" applyFont="1" applyFill="1" applyBorder="1"/>
    <xf numFmtId="2" fontId="7" fillId="6" borderId="10" xfId="0" applyNumberFormat="1" applyFont="1" applyFill="1" applyBorder="1"/>
    <xf numFmtId="0" fontId="17" fillId="2" borderId="0" xfId="0" applyFont="1" applyFill="1" applyAlignment="1">
      <alignment vertical="center" wrapText="1"/>
    </xf>
    <xf numFmtId="0" fontId="17" fillId="8" borderId="0" xfId="0" applyFont="1" applyFill="1"/>
    <xf numFmtId="17" fontId="2" fillId="6" borderId="10" xfId="0" applyNumberFormat="1" applyFont="1" applyFill="1" applyBorder="1"/>
    <xf numFmtId="2" fontId="2" fillId="6" borderId="10" xfId="0" applyNumberFormat="1" applyFont="1" applyFill="1" applyBorder="1"/>
    <xf numFmtId="0" fontId="2" fillId="6" borderId="4" xfId="0" applyFont="1" applyFill="1" applyBorder="1"/>
    <xf numFmtId="167" fontId="2" fillId="6" borderId="4" xfId="4" applyNumberFormat="1" applyFont="1" applyFill="1" applyBorder="1"/>
    <xf numFmtId="2" fontId="2" fillId="6" borderId="6" xfId="0" applyNumberFormat="1" applyFont="1" applyFill="1" applyBorder="1"/>
    <xf numFmtId="168" fontId="2" fillId="6" borderId="6" xfId="0" applyNumberFormat="1" applyFont="1" applyFill="1" applyBorder="1"/>
    <xf numFmtId="167" fontId="2" fillId="6" borderId="6" xfId="4" applyNumberFormat="1" applyFont="1" applyFill="1" applyBorder="1"/>
    <xf numFmtId="17" fontId="2" fillId="6" borderId="8" xfId="0" applyNumberFormat="1" applyFont="1" applyFill="1" applyBorder="1"/>
    <xf numFmtId="2" fontId="2" fillId="6" borderId="8" xfId="0" applyNumberFormat="1" applyFont="1" applyFill="1" applyBorder="1"/>
    <xf numFmtId="168" fontId="2" fillId="6" borderId="8" xfId="0" applyNumberFormat="1" applyFont="1" applyFill="1" applyBorder="1"/>
    <xf numFmtId="167" fontId="2" fillId="6" borderId="8" xfId="4" applyNumberFormat="1" applyFont="1" applyFill="1" applyBorder="1"/>
    <xf numFmtId="168" fontId="2" fillId="6" borderId="10" xfId="0" applyNumberFormat="1" applyFont="1" applyFill="1" applyBorder="1"/>
    <xf numFmtId="167" fontId="2" fillId="6" borderId="10" xfId="4" applyNumberFormat="1" applyFont="1" applyFill="1" applyBorder="1"/>
    <xf numFmtId="168" fontId="2" fillId="6" borderId="12" xfId="0" applyNumberFormat="1" applyFont="1" applyFill="1" applyBorder="1"/>
    <xf numFmtId="167" fontId="2" fillId="6" borderId="12" xfId="4" applyNumberFormat="1" applyFont="1" applyFill="1" applyBorder="1"/>
    <xf numFmtId="168" fontId="3" fillId="6" borderId="4" xfId="0" applyNumberFormat="1" applyFont="1" applyFill="1" applyBorder="1"/>
    <xf numFmtId="168" fontId="3" fillId="6" borderId="10" xfId="0" applyNumberFormat="1" applyFont="1" applyFill="1" applyBorder="1"/>
    <xf numFmtId="168" fontId="2" fillId="6" borderId="4" xfId="0" applyNumberFormat="1" applyFont="1" applyFill="1" applyBorder="1"/>
    <xf numFmtId="17" fontId="2" fillId="6" borderId="4" xfId="0" applyNumberFormat="1" applyFont="1" applyFill="1" applyBorder="1"/>
    <xf numFmtId="2" fontId="2" fillId="6" borderId="4" xfId="0" applyNumberFormat="1" applyFont="1" applyFill="1" applyBorder="1"/>
    <xf numFmtId="167" fontId="2" fillId="6" borderId="5" xfId="4" applyNumberFormat="1" applyFont="1" applyFill="1" applyBorder="1"/>
    <xf numFmtId="167" fontId="2" fillId="6" borderId="7" xfId="4" applyNumberFormat="1" applyFont="1" applyFill="1" applyBorder="1"/>
    <xf numFmtId="167" fontId="2" fillId="6" borderId="9" xfId="4" applyNumberFormat="1" applyFont="1" applyFill="1" applyBorder="1"/>
    <xf numFmtId="0" fontId="3" fillId="3" borderId="38" xfId="0" applyFont="1" applyFill="1" applyBorder="1" applyAlignment="1">
      <alignment horizontal="center" vertical="center" wrapText="1"/>
    </xf>
    <xf numFmtId="167" fontId="3" fillId="3" borderId="51" xfId="4" applyNumberFormat="1" applyFont="1" applyFill="1" applyBorder="1" applyAlignment="1">
      <alignment horizontal="center" vertical="center" wrapText="1"/>
    </xf>
    <xf numFmtId="1" fontId="3" fillId="3" borderId="29" xfId="0" applyNumberFormat="1" applyFont="1" applyFill="1" applyBorder="1" applyAlignment="1">
      <alignment horizontal="center" vertical="center" wrapText="1"/>
    </xf>
    <xf numFmtId="167" fontId="3" fillId="3" borderId="26" xfId="4" applyNumberFormat="1" applyFont="1" applyFill="1" applyBorder="1" applyAlignment="1">
      <alignment horizontal="center" vertical="center" wrapText="1"/>
    </xf>
    <xf numFmtId="0" fontId="2" fillId="8" borderId="0" xfId="0" applyFont="1" applyFill="1"/>
    <xf numFmtId="0" fontId="3" fillId="3" borderId="27" xfId="0" applyFont="1" applyFill="1" applyBorder="1" applyAlignment="1">
      <alignment horizontal="center" vertical="center" wrapText="1"/>
    </xf>
    <xf numFmtId="0" fontId="3" fillId="9" borderId="14" xfId="0" applyFont="1" applyFill="1" applyBorder="1"/>
    <xf numFmtId="0" fontId="2" fillId="9" borderId="5" xfId="0" applyFont="1" applyFill="1" applyBorder="1"/>
    <xf numFmtId="0" fontId="2" fillId="9" borderId="15" xfId="0" applyFont="1" applyFill="1" applyBorder="1"/>
    <xf numFmtId="0" fontId="2" fillId="9" borderId="7" xfId="0" applyFont="1" applyFill="1" applyBorder="1"/>
    <xf numFmtId="0" fontId="2" fillId="9" borderId="16" xfId="0" applyFont="1" applyFill="1" applyBorder="1"/>
    <xf numFmtId="0" fontId="2" fillId="9" borderId="9" xfId="0" applyFont="1" applyFill="1" applyBorder="1"/>
    <xf numFmtId="0" fontId="2" fillId="9" borderId="17" xfId="0" applyFont="1" applyFill="1" applyBorder="1"/>
    <xf numFmtId="0" fontId="2" fillId="9" borderId="11" xfId="0" applyFont="1" applyFill="1" applyBorder="1"/>
    <xf numFmtId="169" fontId="2" fillId="9" borderId="15" xfId="0" applyNumberFormat="1" applyFont="1" applyFill="1" applyBorder="1"/>
    <xf numFmtId="0" fontId="2" fillId="9" borderId="18" xfId="0" applyFont="1" applyFill="1" applyBorder="1"/>
    <xf numFmtId="0" fontId="2" fillId="9" borderId="13" xfId="0" applyFont="1" applyFill="1" applyBorder="1"/>
    <xf numFmtId="173" fontId="3" fillId="9" borderId="20" xfId="3" applyNumberFormat="1" applyFont="1" applyFill="1" applyBorder="1"/>
    <xf numFmtId="173" fontId="3" fillId="9" borderId="5" xfId="3" applyNumberFormat="1" applyFont="1" applyFill="1" applyBorder="1"/>
    <xf numFmtId="0" fontId="2" fillId="9" borderId="21" xfId="0" applyFont="1" applyFill="1" applyBorder="1"/>
    <xf numFmtId="173" fontId="2" fillId="9" borderId="7" xfId="3" applyNumberFormat="1" applyFont="1" applyFill="1" applyBorder="1"/>
    <xf numFmtId="0" fontId="2" fillId="9" borderId="22" xfId="0" applyFont="1" applyFill="1" applyBorder="1"/>
    <xf numFmtId="173" fontId="2" fillId="9" borderId="9" xfId="3" applyNumberFormat="1" applyFont="1" applyFill="1" applyBorder="1"/>
    <xf numFmtId="173" fontId="3" fillId="9" borderId="11" xfId="3" applyNumberFormat="1" applyFont="1" applyFill="1" applyBorder="1"/>
    <xf numFmtId="0" fontId="2" fillId="9" borderId="23" xfId="0" applyFont="1" applyFill="1" applyBorder="1"/>
    <xf numFmtId="173" fontId="2" fillId="9" borderId="13" xfId="3" applyNumberFormat="1" applyFont="1" applyFill="1" applyBorder="1"/>
    <xf numFmtId="172" fontId="2" fillId="9" borderId="20" xfId="1" applyNumberFormat="1" applyFont="1" applyFill="1" applyBorder="1"/>
    <xf numFmtId="172" fontId="2" fillId="9" borderId="21" xfId="1" applyNumberFormat="1" applyFont="1" applyFill="1" applyBorder="1"/>
    <xf numFmtId="172" fontId="2" fillId="9" borderId="22" xfId="1" applyNumberFormat="1" applyFont="1" applyFill="1" applyBorder="1"/>
    <xf numFmtId="0" fontId="2" fillId="9" borderId="20" xfId="0" applyFont="1" applyFill="1" applyBorder="1"/>
    <xf numFmtId="174" fontId="3" fillId="9" borderId="20" xfId="3" applyNumberFormat="1" applyFont="1" applyFill="1" applyBorder="1"/>
    <xf numFmtId="174" fontId="3" fillId="9" borderId="5" xfId="3" applyNumberFormat="1" applyFont="1" applyFill="1" applyBorder="1"/>
    <xf numFmtId="174" fontId="2" fillId="9" borderId="21" xfId="0" applyNumberFormat="1" applyFont="1" applyFill="1" applyBorder="1"/>
    <xf numFmtId="174" fontId="2" fillId="9" borderId="7" xfId="3" applyNumberFormat="1" applyFont="1" applyFill="1" applyBorder="1"/>
    <xf numFmtId="174" fontId="2" fillId="9" borderId="22" xfId="0" applyNumberFormat="1" applyFont="1" applyFill="1" applyBorder="1"/>
    <xf numFmtId="174" fontId="2" fillId="9" borderId="9" xfId="3" applyNumberFormat="1" applyFont="1" applyFill="1" applyBorder="1"/>
    <xf numFmtId="174" fontId="3" fillId="9" borderId="11" xfId="3" applyNumberFormat="1" applyFont="1" applyFill="1" applyBorder="1"/>
    <xf numFmtId="174" fontId="2" fillId="9" borderId="23" xfId="0" applyNumberFormat="1" applyFont="1" applyFill="1" applyBorder="1"/>
    <xf numFmtId="174" fontId="2" fillId="9" borderId="13" xfId="3" applyNumberFormat="1" applyFont="1" applyFill="1" applyBorder="1"/>
    <xf numFmtId="174" fontId="2" fillId="9" borderId="15" xfId="0" applyNumberFormat="1" applyFont="1" applyFill="1" applyBorder="1"/>
    <xf numFmtId="174" fontId="2" fillId="9" borderId="18" xfId="0" applyNumberFormat="1" applyFont="1" applyFill="1" applyBorder="1"/>
    <xf numFmtId="174" fontId="2" fillId="9" borderId="14" xfId="1" applyNumberFormat="1" applyFont="1" applyFill="1" applyBorder="1"/>
    <xf numFmtId="174" fontId="2" fillId="9" borderId="15" xfId="1" applyNumberFormat="1" applyFont="1" applyFill="1" applyBorder="1"/>
    <xf numFmtId="174" fontId="2" fillId="9" borderId="16" xfId="1" applyNumberFormat="1" applyFont="1" applyFill="1" applyBorder="1"/>
    <xf numFmtId="174" fontId="2" fillId="9" borderId="14" xfId="0" applyNumberFormat="1" applyFont="1" applyFill="1" applyBorder="1"/>
    <xf numFmtId="174" fontId="2" fillId="9" borderId="16" xfId="0" applyNumberFormat="1" applyFont="1" applyFill="1" applyBorder="1"/>
    <xf numFmtId="0" fontId="3" fillId="10" borderId="14" xfId="0" applyFont="1" applyFill="1" applyBorder="1"/>
    <xf numFmtId="0" fontId="2" fillId="10" borderId="5" xfId="0" applyFont="1" applyFill="1" applyBorder="1"/>
    <xf numFmtId="0" fontId="2" fillId="10" borderId="15" xfId="0" applyFont="1" applyFill="1" applyBorder="1"/>
    <xf numFmtId="0" fontId="2" fillId="10" borderId="7" xfId="0" applyFont="1" applyFill="1" applyBorder="1"/>
    <xf numFmtId="0" fontId="2" fillId="10" borderId="16" xfId="0" applyFont="1" applyFill="1" applyBorder="1"/>
    <xf numFmtId="0" fontId="2" fillId="10" borderId="9" xfId="0" applyFont="1" applyFill="1" applyBorder="1"/>
    <xf numFmtId="0" fontId="2" fillId="10" borderId="17" xfId="0" applyFont="1" applyFill="1" applyBorder="1"/>
    <xf numFmtId="0" fontId="2" fillId="10" borderId="11" xfId="0" applyFont="1" applyFill="1" applyBorder="1"/>
    <xf numFmtId="169" fontId="2" fillId="10" borderId="15" xfId="0" applyNumberFormat="1" applyFont="1" applyFill="1" applyBorder="1"/>
    <xf numFmtId="0" fontId="2" fillId="10" borderId="18" xfId="0" applyFont="1" applyFill="1" applyBorder="1"/>
    <xf numFmtId="0" fontId="2" fillId="10" borderId="13" xfId="0" applyFont="1" applyFill="1" applyBorder="1"/>
    <xf numFmtId="173" fontId="3" fillId="10" borderId="20" xfId="3" applyNumberFormat="1" applyFont="1" applyFill="1" applyBorder="1"/>
    <xf numFmtId="173" fontId="3" fillId="10" borderId="5" xfId="3" applyNumberFormat="1" applyFont="1" applyFill="1" applyBorder="1"/>
    <xf numFmtId="0" fontId="2" fillId="10" borderId="21" xfId="0" applyFont="1" applyFill="1" applyBorder="1"/>
    <xf numFmtId="173" fontId="2" fillId="10" borderId="7" xfId="3" applyNumberFormat="1" applyFont="1" applyFill="1" applyBorder="1"/>
    <xf numFmtId="0" fontId="2" fillId="10" borderId="22" xfId="0" applyFont="1" applyFill="1" applyBorder="1"/>
    <xf numFmtId="173" fontId="2" fillId="10" borderId="9" xfId="3" applyNumberFormat="1" applyFont="1" applyFill="1" applyBorder="1"/>
    <xf numFmtId="173" fontId="3" fillId="10" borderId="11" xfId="3" applyNumberFormat="1" applyFont="1" applyFill="1" applyBorder="1"/>
    <xf numFmtId="0" fontId="2" fillId="10" borderId="23" xfId="0" applyFont="1" applyFill="1" applyBorder="1"/>
    <xf numFmtId="173" fontId="2" fillId="10" borderId="13" xfId="3" applyNumberFormat="1" applyFont="1" applyFill="1" applyBorder="1"/>
    <xf numFmtId="172" fontId="2" fillId="10" borderId="20" xfId="1" applyNumberFormat="1" applyFont="1" applyFill="1" applyBorder="1"/>
    <xf numFmtId="172" fontId="2" fillId="10" borderId="21" xfId="1" applyNumberFormat="1" applyFont="1" applyFill="1" applyBorder="1"/>
    <xf numFmtId="172" fontId="2" fillId="10" borderId="22" xfId="1" applyNumberFormat="1" applyFont="1" applyFill="1" applyBorder="1"/>
    <xf numFmtId="0" fontId="2" fillId="10" borderId="20" xfId="0" applyFont="1" applyFill="1" applyBorder="1"/>
    <xf numFmtId="172" fontId="2" fillId="10" borderId="14" xfId="1" applyNumberFormat="1" applyFont="1" applyFill="1" applyBorder="1"/>
    <xf numFmtId="172" fontId="2" fillId="10" borderId="15" xfId="1" applyNumberFormat="1" applyFont="1" applyFill="1" applyBorder="1"/>
    <xf numFmtId="172" fontId="2" fillId="10" borderId="16" xfId="1" applyNumberFormat="1" applyFont="1" applyFill="1" applyBorder="1"/>
    <xf numFmtId="0" fontId="2" fillId="10" borderId="14" xfId="0" applyFont="1" applyFill="1" applyBorder="1"/>
    <xf numFmtId="174" fontId="3" fillId="10" borderId="20" xfId="3" applyNumberFormat="1" applyFont="1" applyFill="1" applyBorder="1"/>
    <xf numFmtId="174" fontId="3" fillId="10" borderId="5" xfId="3" applyNumberFormat="1" applyFont="1" applyFill="1" applyBorder="1"/>
    <xf numFmtId="174" fontId="2" fillId="10" borderId="21" xfId="0" applyNumberFormat="1" applyFont="1" applyFill="1" applyBorder="1"/>
    <xf numFmtId="174" fontId="2" fillId="10" borderId="7" xfId="3" applyNumberFormat="1" applyFont="1" applyFill="1" applyBorder="1"/>
    <xf numFmtId="174" fontId="2" fillId="10" borderId="22" xfId="0" applyNumberFormat="1" applyFont="1" applyFill="1" applyBorder="1"/>
    <xf numFmtId="174" fontId="2" fillId="10" borderId="9" xfId="3" applyNumberFormat="1" applyFont="1" applyFill="1" applyBorder="1"/>
    <xf numFmtId="174" fontId="3" fillId="10" borderId="11" xfId="3" applyNumberFormat="1" applyFont="1" applyFill="1" applyBorder="1"/>
    <xf numFmtId="174" fontId="2" fillId="10" borderId="23" xfId="0" applyNumberFormat="1" applyFont="1" applyFill="1" applyBorder="1"/>
    <xf numFmtId="174" fontId="2" fillId="10" borderId="13" xfId="3" applyNumberFormat="1" applyFont="1" applyFill="1" applyBorder="1"/>
    <xf numFmtId="174" fontId="2" fillId="10" borderId="20" xfId="1" applyNumberFormat="1" applyFont="1" applyFill="1" applyBorder="1"/>
    <xf numFmtId="174" fontId="2" fillId="10" borderId="21" xfId="1" applyNumberFormat="1" applyFont="1" applyFill="1" applyBorder="1"/>
    <xf numFmtId="174" fontId="2" fillId="10" borderId="15" xfId="1" applyNumberFormat="1" applyFont="1" applyFill="1" applyBorder="1"/>
    <xf numFmtId="174" fontId="2" fillId="10" borderId="16" xfId="1" applyNumberFormat="1" applyFont="1" applyFill="1" applyBorder="1"/>
    <xf numFmtId="174" fontId="2" fillId="10" borderId="14" xfId="0" applyNumberFormat="1" applyFont="1" applyFill="1" applyBorder="1"/>
    <xf numFmtId="174" fontId="2" fillId="10" borderId="15" xfId="0" applyNumberFormat="1" applyFont="1" applyFill="1" applyBorder="1"/>
    <xf numFmtId="174" fontId="2" fillId="10" borderId="16" xfId="0" applyNumberFormat="1" applyFont="1" applyFill="1" applyBorder="1"/>
    <xf numFmtId="173" fontId="3" fillId="10" borderId="24" xfId="3" applyNumberFormat="1" applyFont="1" applyFill="1" applyBorder="1"/>
    <xf numFmtId="2" fontId="2" fillId="10" borderId="16" xfId="0" applyNumberFormat="1" applyFont="1" applyFill="1" applyBorder="1"/>
    <xf numFmtId="0" fontId="3" fillId="7" borderId="29" xfId="0" applyFont="1" applyFill="1" applyBorder="1" applyAlignment="1">
      <alignment horizontal="center" vertical="center" wrapText="1"/>
    </xf>
    <xf numFmtId="0" fontId="3" fillId="7" borderId="41" xfId="0" applyFont="1" applyFill="1" applyBorder="1" applyAlignment="1">
      <alignment horizontal="center" vertical="center" wrapText="1"/>
    </xf>
    <xf numFmtId="1" fontId="3" fillId="2" borderId="14" xfId="0" applyNumberFormat="1" applyFont="1" applyFill="1" applyBorder="1" applyAlignment="1">
      <alignment horizontal="center" vertical="center" wrapText="1"/>
    </xf>
    <xf numFmtId="1" fontId="3" fillId="2" borderId="15" xfId="0" applyNumberFormat="1" applyFont="1" applyFill="1" applyBorder="1" applyAlignment="1">
      <alignment horizontal="center" vertical="center" wrapText="1"/>
    </xf>
    <xf numFmtId="1" fontId="3" fillId="2" borderId="16" xfId="0" applyNumberFormat="1"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1" xfId="0" applyFont="1" applyFill="1" applyBorder="1" applyAlignment="1">
      <alignment horizontal="center" vertical="center"/>
    </xf>
    <xf numFmtId="0" fontId="3" fillId="7" borderId="42" xfId="0" applyFont="1" applyFill="1" applyBorder="1" applyAlignment="1">
      <alignment horizontal="center" vertical="center" wrapText="1"/>
    </xf>
    <xf numFmtId="1" fontId="10" fillId="2" borderId="0" xfId="0" applyNumberFormat="1" applyFont="1" applyFill="1" applyAlignment="1">
      <alignment horizontal="center"/>
    </xf>
    <xf numFmtId="1" fontId="3" fillId="2" borderId="0" xfId="0" applyNumberFormat="1" applyFont="1" applyFill="1" applyAlignment="1">
      <alignment horizontal="center" vertical="top"/>
    </xf>
    <xf numFmtId="0" fontId="3" fillId="3" borderId="29" xfId="0" applyFont="1" applyFill="1" applyBorder="1" applyAlignment="1">
      <alignment horizontal="center" vertical="center"/>
    </xf>
    <xf numFmtId="0" fontId="3" fillId="3" borderId="41" xfId="0" applyFont="1" applyFill="1" applyBorder="1" applyAlignment="1">
      <alignment horizontal="center" vertical="center"/>
    </xf>
    <xf numFmtId="1" fontId="3" fillId="2" borderId="17" xfId="0" applyNumberFormat="1" applyFont="1" applyFill="1" applyBorder="1" applyAlignment="1">
      <alignment horizontal="center" vertical="center" wrapText="1"/>
    </xf>
    <xf numFmtId="1" fontId="3" fillId="2" borderId="18" xfId="0"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xf>
    <xf numFmtId="1" fontId="6" fillId="2" borderId="43" xfId="0" applyNumberFormat="1" applyFont="1" applyFill="1" applyBorder="1" applyAlignment="1">
      <alignment horizontal="center" vertical="center"/>
    </xf>
    <xf numFmtId="1" fontId="6" fillId="2" borderId="35" xfId="0" applyNumberFormat="1" applyFont="1" applyFill="1" applyBorder="1" applyAlignment="1">
      <alignment horizontal="center" vertical="center"/>
    </xf>
    <xf numFmtId="173" fontId="3" fillId="5" borderId="20" xfId="0" applyNumberFormat="1" applyFont="1" applyFill="1" applyBorder="1" applyAlignment="1">
      <alignment horizontal="center"/>
    </xf>
    <xf numFmtId="173" fontId="3" fillId="5" borderId="34" xfId="0" applyNumberFormat="1" applyFont="1" applyFill="1" applyBorder="1" applyAlignment="1">
      <alignment horizontal="center"/>
    </xf>
    <xf numFmtId="173" fontId="7" fillId="5" borderId="21" xfId="0" applyNumberFormat="1" applyFont="1" applyFill="1" applyBorder="1" applyAlignment="1">
      <alignment horizontal="center"/>
    </xf>
    <xf numFmtId="173" fontId="7" fillId="5" borderId="36" xfId="0" applyNumberFormat="1" applyFont="1" applyFill="1" applyBorder="1" applyAlignment="1">
      <alignment horizontal="center"/>
    </xf>
    <xf numFmtId="173" fontId="7" fillId="5" borderId="22" xfId="0" applyNumberFormat="1" applyFont="1" applyFill="1" applyBorder="1" applyAlignment="1">
      <alignment horizontal="center"/>
    </xf>
    <xf numFmtId="173" fontId="7" fillId="5" borderId="50" xfId="0" applyNumberFormat="1" applyFont="1" applyFill="1" applyBorder="1" applyAlignment="1">
      <alignment horizontal="center"/>
    </xf>
    <xf numFmtId="0" fontId="6" fillId="7" borderId="4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42" xfId="0" applyFont="1" applyFill="1" applyBorder="1" applyAlignment="1">
      <alignment horizontal="center" vertical="center"/>
    </xf>
    <xf numFmtId="0" fontId="5" fillId="0" borderId="41" xfId="0" applyFont="1" applyFill="1" applyBorder="1" applyAlignment="1">
      <alignment horizontal="center" vertical="center"/>
    </xf>
    <xf numFmtId="0" fontId="5" fillId="7" borderId="29"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41" xfId="0" applyFont="1" applyFill="1" applyBorder="1" applyAlignment="1">
      <alignment horizontal="center" vertical="center" wrapText="1"/>
    </xf>
    <xf numFmtId="1" fontId="6" fillId="2" borderId="44" xfId="0" applyNumberFormat="1" applyFont="1" applyFill="1" applyBorder="1" applyAlignment="1">
      <alignment horizontal="center" vertical="center"/>
    </xf>
    <xf numFmtId="1" fontId="6" fillId="2" borderId="33" xfId="0" applyNumberFormat="1" applyFont="1" applyFill="1" applyBorder="1" applyAlignment="1">
      <alignment horizontal="center" vertical="center"/>
    </xf>
    <xf numFmtId="1" fontId="6" fillId="2" borderId="45" xfId="0" applyNumberFormat="1" applyFont="1" applyFill="1" applyBorder="1" applyAlignment="1">
      <alignment horizontal="center" vertical="center"/>
    </xf>
    <xf numFmtId="0" fontId="9" fillId="7" borderId="29"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41"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42" xfId="0" applyFont="1" applyFill="1" applyBorder="1" applyAlignment="1">
      <alignment horizontal="center" vertical="center" wrapText="1"/>
    </xf>
    <xf numFmtId="173" fontId="7" fillId="5" borderId="23" xfId="0" applyNumberFormat="1" applyFont="1" applyFill="1" applyBorder="1" applyAlignment="1">
      <alignment horizontal="center"/>
    </xf>
    <xf numFmtId="173" fontId="7" fillId="5" borderId="47" xfId="0" applyNumberFormat="1" applyFont="1" applyFill="1" applyBorder="1" applyAlignment="1">
      <alignment horizontal="center"/>
    </xf>
    <xf numFmtId="0" fontId="6" fillId="7" borderId="29" xfId="0" applyFont="1" applyFill="1" applyBorder="1" applyAlignment="1">
      <alignment horizontal="center" vertical="center" wrapText="1"/>
    </xf>
    <xf numFmtId="173" fontId="7" fillId="5" borderId="14" xfId="0" applyNumberFormat="1" applyFont="1" applyFill="1" applyBorder="1" applyAlignment="1">
      <alignment horizontal="center"/>
    </xf>
    <xf numFmtId="173" fontId="7" fillId="5" borderId="5" xfId="0" applyNumberFormat="1" applyFont="1" applyFill="1" applyBorder="1" applyAlignment="1">
      <alignment horizontal="center"/>
    </xf>
    <xf numFmtId="173" fontId="7" fillId="5" borderId="15" xfId="0" applyNumberFormat="1" applyFont="1" applyFill="1" applyBorder="1" applyAlignment="1">
      <alignment horizontal="center"/>
    </xf>
    <xf numFmtId="173" fontId="7" fillId="5" borderId="7" xfId="0" applyNumberFormat="1" applyFont="1" applyFill="1" applyBorder="1" applyAlignment="1">
      <alignment horizontal="center"/>
    </xf>
    <xf numFmtId="173" fontId="6" fillId="5" borderId="21" xfId="0" applyNumberFormat="1" applyFont="1" applyFill="1" applyBorder="1" applyAlignment="1">
      <alignment horizontal="center"/>
    </xf>
    <xf numFmtId="173" fontId="6" fillId="5" borderId="36" xfId="0" applyNumberFormat="1" applyFont="1" applyFill="1" applyBorder="1" applyAlignment="1">
      <alignment horizontal="center"/>
    </xf>
    <xf numFmtId="0" fontId="16" fillId="7" borderId="29" xfId="0" applyFont="1" applyFill="1" applyBorder="1" applyAlignment="1">
      <alignment horizontal="center" vertical="center" wrapText="1"/>
    </xf>
    <xf numFmtId="0" fontId="16" fillId="7" borderId="41" xfId="0" applyFont="1" applyFill="1" applyBorder="1" applyAlignment="1">
      <alignment horizontal="center" vertical="center" wrapText="1"/>
    </xf>
    <xf numFmtId="0" fontId="16" fillId="7" borderId="42" xfId="0" applyFont="1" applyFill="1" applyBorder="1" applyAlignment="1">
      <alignment horizontal="center" vertical="center" wrapText="1"/>
    </xf>
    <xf numFmtId="173" fontId="3" fillId="5" borderId="21" xfId="0" applyNumberFormat="1" applyFont="1" applyFill="1" applyBorder="1" applyAlignment="1">
      <alignment horizontal="center"/>
    </xf>
    <xf numFmtId="173" fontId="3" fillId="5" borderId="36" xfId="0" applyNumberFormat="1" applyFont="1" applyFill="1" applyBorder="1" applyAlignment="1">
      <alignment horizontal="center"/>
    </xf>
    <xf numFmtId="173" fontId="7" fillId="7" borderId="15" xfId="0" applyNumberFormat="1" applyFont="1" applyFill="1" applyBorder="1" applyAlignment="1">
      <alignment horizontal="center"/>
    </xf>
    <xf numFmtId="173" fontId="7" fillId="7" borderId="7" xfId="0" applyNumberFormat="1" applyFont="1" applyFill="1" applyBorder="1" applyAlignment="1">
      <alignment horizontal="center"/>
    </xf>
    <xf numFmtId="173" fontId="6" fillId="5" borderId="14" xfId="0" applyNumberFormat="1" applyFont="1" applyFill="1" applyBorder="1" applyAlignment="1">
      <alignment horizontal="center"/>
    </xf>
    <xf numFmtId="173" fontId="6" fillId="5" borderId="5" xfId="0" applyNumberFormat="1" applyFont="1" applyFill="1" applyBorder="1" applyAlignment="1">
      <alignment horizontal="center"/>
    </xf>
    <xf numFmtId="173" fontId="7" fillId="5" borderId="16" xfId="0" applyNumberFormat="1" applyFont="1" applyFill="1" applyBorder="1" applyAlignment="1">
      <alignment horizontal="center"/>
    </xf>
    <xf numFmtId="173" fontId="7" fillId="5" borderId="9" xfId="0" applyNumberFormat="1" applyFont="1" applyFill="1" applyBorder="1" applyAlignment="1">
      <alignment horizontal="center"/>
    </xf>
    <xf numFmtId="173" fontId="6" fillId="7" borderId="15" xfId="0" applyNumberFormat="1" applyFont="1" applyFill="1" applyBorder="1" applyAlignment="1">
      <alignment horizontal="center"/>
    </xf>
    <xf numFmtId="173" fontId="6" fillId="7" borderId="7" xfId="0" applyNumberFormat="1" applyFont="1" applyFill="1" applyBorder="1" applyAlignment="1">
      <alignment horizontal="center"/>
    </xf>
    <xf numFmtId="1" fontId="5" fillId="2" borderId="0" xfId="0" applyNumberFormat="1" applyFont="1" applyFill="1" applyAlignment="1">
      <alignment horizontal="center" vertical="top"/>
    </xf>
    <xf numFmtId="1" fontId="8" fillId="2" borderId="0" xfId="0" applyNumberFormat="1" applyFont="1" applyFill="1" applyAlignment="1">
      <alignment horizontal="center" vertical="top"/>
    </xf>
    <xf numFmtId="173" fontId="6" fillId="5" borderId="20" xfId="0" applyNumberFormat="1" applyFont="1" applyFill="1" applyBorder="1" applyAlignment="1">
      <alignment horizontal="center"/>
    </xf>
    <xf numFmtId="173" fontId="6" fillId="5" borderId="34" xfId="0" applyNumberFormat="1" applyFont="1" applyFill="1" applyBorder="1" applyAlignment="1">
      <alignment horizontal="center"/>
    </xf>
    <xf numFmtId="1" fontId="10" fillId="2" borderId="0" xfId="0" applyNumberFormat="1" applyFont="1" applyFill="1" applyAlignment="1">
      <alignment horizontal="center" vertical="center"/>
    </xf>
  </cellXfs>
  <cellStyles count="6">
    <cellStyle name="Millares" xfId="1" builtinId="3"/>
    <cellStyle name="Millares [0]" xfId="2" builtinId="6"/>
    <cellStyle name="Moneda" xfId="3" builtinId="4"/>
    <cellStyle name="Moneda [0]" xfId="5" builtinId="7"/>
    <cellStyle name="Normal" xfId="0" builtinId="0"/>
    <cellStyle name="Porcentaje" xfId="4" builtinId="5"/>
  </cellStyles>
  <dxfs count="0"/>
  <tableStyles count="0" defaultTableStyle="TableStyleMedium9" defaultPivotStyle="PivotStyleLight16"/>
  <colors>
    <mruColors>
      <color rgb="FFF69D7A"/>
      <color rgb="FFF5617A"/>
      <color rgb="FFF7798E"/>
      <color rgb="FFFBC5CE"/>
      <color rgb="FFFFFF99"/>
      <color rgb="FFF33958"/>
      <color rgb="FFE90D32"/>
      <color rgb="FFEC1A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781050</xdr:colOff>
      <xdr:row>3</xdr:row>
      <xdr:rowOff>257447</xdr:rowOff>
    </xdr:from>
    <xdr:to>
      <xdr:col>4</xdr:col>
      <xdr:colOff>133350</xdr:colOff>
      <xdr:row>5</xdr:row>
      <xdr:rowOff>165359</xdr:rowOff>
    </xdr:to>
    <xdr:pic>
      <xdr:nvPicPr>
        <xdr:cNvPr id="4" name="Imagen 3">
          <a:extLst>
            <a:ext uri="{FF2B5EF4-FFF2-40B4-BE49-F238E27FC236}">
              <a16:creationId xmlns:a16="http://schemas.microsoft.com/office/drawing/2014/main" id="{09C62574-75E2-4BCF-89C7-AA74BB22F6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25" y="781322"/>
          <a:ext cx="800100" cy="698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571499</xdr:colOff>
      <xdr:row>3</xdr:row>
      <xdr:rowOff>238125</xdr:rowOff>
    </xdr:from>
    <xdr:to>
      <xdr:col>4</xdr:col>
      <xdr:colOff>462724</xdr:colOff>
      <xdr:row>5</xdr:row>
      <xdr:rowOff>276225</xdr:rowOff>
    </xdr:to>
    <xdr:pic>
      <xdr:nvPicPr>
        <xdr:cNvPr id="4" name="Imagen 3">
          <a:extLst>
            <a:ext uri="{FF2B5EF4-FFF2-40B4-BE49-F238E27FC236}">
              <a16:creationId xmlns:a16="http://schemas.microsoft.com/office/drawing/2014/main" id="{FCEBE7F9-53BC-45B1-BDE7-D5A44C7EEC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4" y="685800"/>
          <a:ext cx="1567625" cy="838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39"/>
  <sheetViews>
    <sheetView showRowColHeaders="0" zoomScaleNormal="100" workbookViewId="0">
      <pane xSplit="6" ySplit="7" topLeftCell="G75" activePane="bottomRight" state="frozen"/>
      <selection pane="topRight" activeCell="G1" sqref="G1"/>
      <selection pane="bottomLeft" activeCell="A8" sqref="A8"/>
      <selection pane="bottomRight" activeCell="D100" sqref="D100"/>
    </sheetView>
  </sheetViews>
  <sheetFormatPr baseColWidth="10" defaultColWidth="11.42578125" defaultRowHeight="10.5" x14ac:dyDescent="0.15"/>
  <cols>
    <col min="1" max="1" width="1.7109375" style="3" customWidth="1"/>
    <col min="2" max="2" width="5" style="18" bestFit="1" customWidth="1"/>
    <col min="3" max="3" width="15.28515625" style="3" customWidth="1"/>
    <col min="4" max="4" width="6.42578125" style="11" bestFit="1" customWidth="1"/>
    <col min="5" max="5" width="9.42578125" style="3" customWidth="1"/>
    <col min="6" max="6" width="9.42578125" style="14" bestFit="1" customWidth="1"/>
    <col min="7" max="7" width="3.7109375" style="3" customWidth="1"/>
    <col min="8" max="8" width="9.7109375" style="3" bestFit="1" customWidth="1"/>
    <col min="9" max="9" width="10" style="3" bestFit="1" customWidth="1"/>
    <col min="10" max="10" width="1" style="3" customWidth="1"/>
    <col min="11" max="11" width="9.7109375" style="3" bestFit="1" customWidth="1"/>
    <col min="12" max="12" width="10" style="3" bestFit="1" customWidth="1"/>
    <col min="13" max="13" width="1" style="3" customWidth="1"/>
    <col min="14" max="14" width="9.7109375" style="3" bestFit="1" customWidth="1"/>
    <col min="15" max="15" width="10" style="3" bestFit="1" customWidth="1"/>
    <col min="16" max="16" width="2.85546875" style="3" customWidth="1"/>
    <col min="17" max="18" width="11.28515625" style="3" bestFit="1" customWidth="1"/>
    <col min="19" max="19" width="1" style="3" customWidth="1"/>
    <col min="20" max="20" width="11.28515625" style="3" bestFit="1" customWidth="1"/>
    <col min="21" max="21" width="11.5703125" style="3" customWidth="1"/>
    <col min="22" max="22" width="1" style="3" customWidth="1"/>
    <col min="23" max="23" width="11.28515625" style="3" customWidth="1"/>
    <col min="24" max="24" width="11.28515625" style="3" bestFit="1" customWidth="1"/>
    <col min="25" max="25" width="3.7109375" style="3" customWidth="1"/>
    <col min="26" max="26" width="9.7109375" style="3" bestFit="1" customWidth="1"/>
    <col min="27" max="27" width="10" style="3" bestFit="1" customWidth="1"/>
    <col min="28" max="28" width="1.5703125" style="3" customWidth="1"/>
    <col min="29" max="29" width="11.28515625" style="3" bestFit="1" customWidth="1"/>
    <col min="30" max="30" width="11.5703125" style="3" customWidth="1"/>
    <col min="31" max="31" width="3.7109375" style="3" customWidth="1"/>
    <col min="32" max="32" width="10.42578125" style="3" customWidth="1"/>
    <col min="33" max="33" width="10" style="3" bestFit="1" customWidth="1"/>
    <col min="34" max="16384" width="11.42578125" style="3"/>
  </cols>
  <sheetData>
    <row r="1" spans="2:33" ht="11.1" customHeight="1" thickBot="1" x14ac:dyDescent="0.25">
      <c r="B1" s="23"/>
    </row>
    <row r="2" spans="2:33" ht="25.5" customHeight="1" thickBot="1" x14ac:dyDescent="0.3">
      <c r="B2" s="391" t="s">
        <v>71</v>
      </c>
      <c r="C2" s="391"/>
      <c r="D2" s="391"/>
      <c r="E2" s="391"/>
      <c r="F2" s="391"/>
      <c r="H2" s="387" t="s">
        <v>12</v>
      </c>
      <c r="I2" s="388"/>
      <c r="J2" s="388"/>
      <c r="K2" s="388"/>
      <c r="L2" s="388"/>
      <c r="M2" s="388"/>
      <c r="N2" s="388"/>
      <c r="O2" s="388"/>
      <c r="P2" s="388"/>
      <c r="Q2" s="388"/>
      <c r="R2" s="388"/>
      <c r="S2" s="388"/>
      <c r="T2" s="388"/>
      <c r="U2" s="388"/>
      <c r="V2" s="388"/>
      <c r="W2" s="388"/>
      <c r="X2" s="389"/>
      <c r="Y2" s="21"/>
      <c r="Z2" s="387" t="s">
        <v>13</v>
      </c>
      <c r="AA2" s="388"/>
      <c r="AB2" s="388"/>
      <c r="AC2" s="388"/>
      <c r="AD2" s="389"/>
      <c r="AE2" s="21"/>
      <c r="AF2" s="385" t="s">
        <v>18</v>
      </c>
      <c r="AG2" s="386"/>
    </row>
    <row r="3" spans="2:33" ht="5.25" customHeight="1" thickBot="1" x14ac:dyDescent="0.2"/>
    <row r="4" spans="2:33" ht="57" customHeight="1" thickBot="1" x14ac:dyDescent="0.2">
      <c r="B4" s="392" t="s">
        <v>70</v>
      </c>
      <c r="C4" s="392"/>
      <c r="D4" s="392"/>
      <c r="E4" s="392"/>
      <c r="F4" s="392"/>
      <c r="H4" s="380" t="s">
        <v>16</v>
      </c>
      <c r="I4" s="390"/>
      <c r="J4" s="390"/>
      <c r="K4" s="390"/>
      <c r="L4" s="390"/>
      <c r="M4" s="390"/>
      <c r="N4" s="390"/>
      <c r="O4" s="381"/>
      <c r="P4" s="22"/>
      <c r="Q4" s="380" t="s">
        <v>16</v>
      </c>
      <c r="R4" s="390"/>
      <c r="S4" s="390"/>
      <c r="T4" s="390"/>
      <c r="U4" s="390"/>
      <c r="V4" s="390"/>
      <c r="W4" s="390"/>
      <c r="X4" s="381"/>
      <c r="Z4" s="380" t="s">
        <v>14</v>
      </c>
      <c r="AA4" s="381"/>
      <c r="AB4" s="22"/>
      <c r="AC4" s="380" t="s">
        <v>15</v>
      </c>
      <c r="AD4" s="381"/>
      <c r="AF4" s="380" t="s">
        <v>14</v>
      </c>
      <c r="AG4" s="381"/>
    </row>
    <row r="5" spans="2:33" ht="5.25" customHeight="1" thickBot="1" x14ac:dyDescent="0.2"/>
    <row r="6" spans="2:33" ht="27" customHeight="1" thickBot="1" x14ac:dyDescent="0.2">
      <c r="B6" s="17"/>
      <c r="C6" s="1"/>
      <c r="D6" s="1"/>
      <c r="E6" s="1"/>
      <c r="F6" s="2"/>
      <c r="H6" s="393" t="s">
        <v>9</v>
      </c>
      <c r="I6" s="394"/>
      <c r="J6" s="21"/>
      <c r="K6" s="393" t="s">
        <v>10</v>
      </c>
      <c r="L6" s="394"/>
      <c r="M6" s="21"/>
      <c r="N6" s="393" t="s">
        <v>11</v>
      </c>
      <c r="O6" s="394"/>
      <c r="P6" s="21"/>
      <c r="Q6" s="393" t="s">
        <v>9</v>
      </c>
      <c r="R6" s="394"/>
      <c r="S6" s="21"/>
      <c r="T6" s="393" t="s">
        <v>10</v>
      </c>
      <c r="U6" s="394"/>
      <c r="V6" s="21"/>
      <c r="W6" s="393" t="s">
        <v>11</v>
      </c>
      <c r="X6" s="394"/>
      <c r="Y6" s="21"/>
      <c r="Z6" s="393" t="s">
        <v>17</v>
      </c>
      <c r="AA6" s="394"/>
      <c r="AB6" s="21"/>
      <c r="AC6" s="393" t="s">
        <v>17</v>
      </c>
      <c r="AD6" s="394"/>
      <c r="AE6" s="21"/>
      <c r="AF6" s="393" t="s">
        <v>17</v>
      </c>
      <c r="AG6" s="394"/>
    </row>
    <row r="7" spans="2:33" ht="63.75" customHeight="1" thickBot="1" x14ac:dyDescent="0.2">
      <c r="B7" s="15" t="s">
        <v>0</v>
      </c>
      <c r="C7" s="20" t="s">
        <v>1</v>
      </c>
      <c r="D7" s="20" t="s">
        <v>2</v>
      </c>
      <c r="E7" s="288" t="s">
        <v>3</v>
      </c>
      <c r="F7" s="289" t="s">
        <v>4</v>
      </c>
      <c r="H7" s="19" t="s">
        <v>6</v>
      </c>
      <c r="I7" s="16" t="s">
        <v>5</v>
      </c>
      <c r="K7" s="19" t="s">
        <v>6</v>
      </c>
      <c r="L7" s="16" t="s">
        <v>5</v>
      </c>
      <c r="N7" s="19" t="s">
        <v>6</v>
      </c>
      <c r="O7" s="16" t="s">
        <v>5</v>
      </c>
      <c r="Q7" s="19" t="s">
        <v>7</v>
      </c>
      <c r="R7" s="16" t="s">
        <v>8</v>
      </c>
      <c r="T7" s="19" t="s">
        <v>7</v>
      </c>
      <c r="U7" s="16" t="s">
        <v>8</v>
      </c>
      <c r="W7" s="19" t="s">
        <v>7</v>
      </c>
      <c r="X7" s="16" t="s">
        <v>8</v>
      </c>
      <c r="Z7" s="19" t="s">
        <v>6</v>
      </c>
      <c r="AA7" s="16" t="s">
        <v>5</v>
      </c>
      <c r="AC7" s="19" t="s">
        <v>7</v>
      </c>
      <c r="AD7" s="16" t="s">
        <v>8</v>
      </c>
      <c r="AF7" s="19" t="s">
        <v>6</v>
      </c>
      <c r="AG7" s="16" t="s">
        <v>5</v>
      </c>
    </row>
    <row r="8" spans="2:33" x14ac:dyDescent="0.15">
      <c r="B8" s="382">
        <v>2000</v>
      </c>
      <c r="C8" s="265">
        <v>36678</v>
      </c>
      <c r="D8" s="266">
        <v>294.3787139528585</v>
      </c>
      <c r="E8" s="267"/>
      <c r="F8" s="268"/>
      <c r="H8" s="334"/>
      <c r="I8" s="335"/>
      <c r="K8" s="294"/>
      <c r="L8" s="295"/>
      <c r="N8" s="334"/>
      <c r="O8" s="335"/>
      <c r="Q8" s="294"/>
      <c r="R8" s="295"/>
      <c r="T8" s="334"/>
      <c r="U8" s="335"/>
      <c r="W8" s="294"/>
      <c r="X8" s="295"/>
      <c r="Z8" s="334"/>
      <c r="AA8" s="335"/>
      <c r="AC8" s="294"/>
      <c r="AD8" s="295"/>
      <c r="AF8" s="334"/>
      <c r="AG8" s="335"/>
    </row>
    <row r="9" spans="2:33" x14ac:dyDescent="0.15">
      <c r="B9" s="383"/>
      <c r="C9" s="260">
        <v>36708</v>
      </c>
      <c r="D9" s="269">
        <v>297.15891799918705</v>
      </c>
      <c r="E9" s="270"/>
      <c r="F9" s="271"/>
      <c r="H9" s="336"/>
      <c r="I9" s="337"/>
      <c r="K9" s="296"/>
      <c r="L9" s="297"/>
      <c r="N9" s="336"/>
      <c r="O9" s="337"/>
      <c r="Q9" s="296"/>
      <c r="R9" s="297"/>
      <c r="T9" s="336"/>
      <c r="U9" s="337"/>
      <c r="W9" s="296"/>
      <c r="X9" s="297"/>
      <c r="Z9" s="336"/>
      <c r="AA9" s="337"/>
      <c r="AC9" s="296"/>
      <c r="AD9" s="297"/>
      <c r="AF9" s="336"/>
      <c r="AG9" s="337"/>
    </row>
    <row r="10" spans="2:33" x14ac:dyDescent="0.15">
      <c r="B10" s="383"/>
      <c r="C10" s="260">
        <v>36739</v>
      </c>
      <c r="D10" s="269">
        <v>299.49624645588051</v>
      </c>
      <c r="E10" s="270"/>
      <c r="F10" s="271"/>
      <c r="G10" s="5"/>
      <c r="H10" s="336"/>
      <c r="I10" s="337"/>
      <c r="J10" s="5"/>
      <c r="K10" s="296"/>
      <c r="L10" s="297"/>
      <c r="M10" s="5"/>
      <c r="N10" s="336"/>
      <c r="O10" s="337"/>
      <c r="P10" s="5"/>
      <c r="Q10" s="296"/>
      <c r="R10" s="297"/>
      <c r="S10" s="5"/>
      <c r="T10" s="336"/>
      <c r="U10" s="337"/>
      <c r="V10" s="5"/>
      <c r="W10" s="296"/>
      <c r="X10" s="297"/>
      <c r="Z10" s="336"/>
      <c r="AA10" s="337"/>
      <c r="AC10" s="296"/>
      <c r="AD10" s="297"/>
      <c r="AF10" s="336"/>
      <c r="AG10" s="337"/>
    </row>
    <row r="11" spans="2:33" x14ac:dyDescent="0.15">
      <c r="B11" s="383"/>
      <c r="C11" s="260">
        <v>36770</v>
      </c>
      <c r="D11" s="269">
        <v>300.46941139187481</v>
      </c>
      <c r="E11" s="270"/>
      <c r="F11" s="271"/>
      <c r="G11" s="6"/>
      <c r="H11" s="336"/>
      <c r="I11" s="337"/>
      <c r="J11" s="6"/>
      <c r="K11" s="296"/>
      <c r="L11" s="297"/>
      <c r="M11" s="6"/>
      <c r="N11" s="336"/>
      <c r="O11" s="337"/>
      <c r="P11" s="6"/>
      <c r="Q11" s="296"/>
      <c r="R11" s="297"/>
      <c r="S11" s="6"/>
      <c r="T11" s="336"/>
      <c r="U11" s="337"/>
      <c r="V11" s="6"/>
      <c r="W11" s="296"/>
      <c r="X11" s="297"/>
      <c r="Z11" s="336"/>
      <c r="AA11" s="337"/>
      <c r="AC11" s="296"/>
      <c r="AD11" s="297"/>
      <c r="AF11" s="336"/>
      <c r="AG11" s="337"/>
    </row>
    <row r="12" spans="2:33" x14ac:dyDescent="0.15">
      <c r="B12" s="383"/>
      <c r="C12" s="260">
        <v>36800</v>
      </c>
      <c r="D12" s="269">
        <v>297.71580435692817</v>
      </c>
      <c r="E12" s="270"/>
      <c r="F12" s="271"/>
      <c r="G12" s="6"/>
      <c r="H12" s="336"/>
      <c r="I12" s="337"/>
      <c r="J12" s="6"/>
      <c r="K12" s="296"/>
      <c r="L12" s="297"/>
      <c r="M12" s="6"/>
      <c r="N12" s="336"/>
      <c r="O12" s="337"/>
      <c r="P12" s="6"/>
      <c r="Q12" s="296"/>
      <c r="R12" s="297"/>
      <c r="S12" s="6"/>
      <c r="T12" s="336"/>
      <c r="U12" s="337"/>
      <c r="V12" s="6"/>
      <c r="W12" s="296"/>
      <c r="X12" s="297"/>
      <c r="Z12" s="336"/>
      <c r="AA12" s="337"/>
      <c r="AC12" s="296"/>
      <c r="AD12" s="297"/>
      <c r="AF12" s="336"/>
      <c r="AG12" s="337"/>
    </row>
    <row r="13" spans="2:33" x14ac:dyDescent="0.15">
      <c r="B13" s="383"/>
      <c r="C13" s="260">
        <v>36831</v>
      </c>
      <c r="D13" s="269">
        <v>298.58129940306458</v>
      </c>
      <c r="E13" s="270"/>
      <c r="F13" s="271"/>
      <c r="G13" s="6"/>
      <c r="H13" s="336"/>
      <c r="I13" s="337"/>
      <c r="J13" s="6"/>
      <c r="K13" s="296"/>
      <c r="L13" s="297"/>
      <c r="M13" s="6"/>
      <c r="N13" s="336"/>
      <c r="O13" s="337"/>
      <c r="P13" s="6"/>
      <c r="Q13" s="296"/>
      <c r="R13" s="297"/>
      <c r="S13" s="6"/>
      <c r="T13" s="336"/>
      <c r="U13" s="337"/>
      <c r="V13" s="6"/>
      <c r="W13" s="296"/>
      <c r="X13" s="297"/>
      <c r="Z13" s="336"/>
      <c r="AA13" s="337"/>
      <c r="AC13" s="296"/>
      <c r="AD13" s="297"/>
      <c r="AF13" s="336"/>
      <c r="AG13" s="337"/>
    </row>
    <row r="14" spans="2:33" ht="11.25" thickBot="1" x14ac:dyDescent="0.2">
      <c r="B14" s="384"/>
      <c r="C14" s="272">
        <v>36861</v>
      </c>
      <c r="D14" s="273">
        <v>302.13640463263232</v>
      </c>
      <c r="E14" s="274"/>
      <c r="F14" s="275"/>
      <c r="G14" s="6"/>
      <c r="H14" s="338"/>
      <c r="I14" s="339"/>
      <c r="J14" s="6"/>
      <c r="K14" s="298"/>
      <c r="L14" s="299"/>
      <c r="M14" s="6"/>
      <c r="N14" s="338"/>
      <c r="O14" s="339"/>
      <c r="P14" s="6"/>
      <c r="Q14" s="298"/>
      <c r="R14" s="299"/>
      <c r="S14" s="6"/>
      <c r="T14" s="338"/>
      <c r="U14" s="339"/>
      <c r="V14" s="6"/>
      <c r="W14" s="298"/>
      <c r="X14" s="299"/>
      <c r="Z14" s="338"/>
      <c r="AA14" s="339"/>
      <c r="AC14" s="298"/>
      <c r="AD14" s="299"/>
      <c r="AF14" s="338"/>
      <c r="AG14" s="339"/>
    </row>
    <row r="15" spans="2:33" x14ac:dyDescent="0.15">
      <c r="B15" s="395">
        <v>2001</v>
      </c>
      <c r="C15" s="265">
        <v>36892</v>
      </c>
      <c r="D15" s="266">
        <v>313.0144239035763</v>
      </c>
      <c r="E15" s="276"/>
      <c r="F15" s="277"/>
      <c r="G15" s="6"/>
      <c r="H15" s="340"/>
      <c r="I15" s="341"/>
      <c r="J15" s="6"/>
      <c r="K15" s="300"/>
      <c r="L15" s="301"/>
      <c r="M15" s="6"/>
      <c r="N15" s="340"/>
      <c r="O15" s="341"/>
      <c r="P15" s="6"/>
      <c r="Q15" s="300"/>
      <c r="R15" s="301"/>
      <c r="S15" s="6"/>
      <c r="T15" s="340"/>
      <c r="U15" s="341"/>
      <c r="V15" s="6"/>
      <c r="W15" s="300"/>
      <c r="X15" s="301"/>
      <c r="Z15" s="340"/>
      <c r="AA15" s="341"/>
      <c r="AC15" s="300"/>
      <c r="AD15" s="301"/>
      <c r="AF15" s="340"/>
      <c r="AG15" s="341"/>
    </row>
    <row r="16" spans="2:33" x14ac:dyDescent="0.15">
      <c r="B16" s="383"/>
      <c r="C16" s="260">
        <v>36923</v>
      </c>
      <c r="D16" s="269">
        <v>315.72762022602075</v>
      </c>
      <c r="E16" s="270"/>
      <c r="F16" s="271"/>
      <c r="G16" s="6"/>
      <c r="H16" s="336"/>
      <c r="I16" s="337"/>
      <c r="J16" s="6"/>
      <c r="K16" s="296"/>
      <c r="L16" s="297"/>
      <c r="M16" s="6"/>
      <c r="N16" s="336"/>
      <c r="O16" s="337"/>
      <c r="P16" s="6"/>
      <c r="Q16" s="296"/>
      <c r="R16" s="297"/>
      <c r="S16" s="6"/>
      <c r="T16" s="336"/>
      <c r="U16" s="337"/>
      <c r="V16" s="6"/>
      <c r="W16" s="296"/>
      <c r="X16" s="297"/>
      <c r="Z16" s="336"/>
      <c r="AA16" s="337"/>
      <c r="AC16" s="296"/>
      <c r="AD16" s="297"/>
      <c r="AF16" s="336"/>
      <c r="AG16" s="337"/>
    </row>
    <row r="17" spans="1:33" x14ac:dyDescent="0.15">
      <c r="B17" s="383"/>
      <c r="C17" s="260">
        <v>36951</v>
      </c>
      <c r="D17" s="269">
        <v>319.49180910041929</v>
      </c>
      <c r="E17" s="270"/>
      <c r="F17" s="271"/>
      <c r="G17" s="6"/>
      <c r="H17" s="342"/>
      <c r="I17" s="337"/>
      <c r="J17" s="6"/>
      <c r="K17" s="302"/>
      <c r="L17" s="297"/>
      <c r="M17" s="6"/>
      <c r="N17" s="342"/>
      <c r="O17" s="337"/>
      <c r="P17" s="6"/>
      <c r="Q17" s="302"/>
      <c r="R17" s="297"/>
      <c r="S17" s="6"/>
      <c r="T17" s="342"/>
      <c r="U17" s="337"/>
      <c r="V17" s="6"/>
      <c r="W17" s="302"/>
      <c r="X17" s="297"/>
      <c r="Z17" s="342"/>
      <c r="AA17" s="337"/>
      <c r="AC17" s="302"/>
      <c r="AD17" s="297"/>
      <c r="AF17" s="342"/>
      <c r="AG17" s="337"/>
    </row>
    <row r="18" spans="1:33" x14ac:dyDescent="0.15">
      <c r="A18" s="7"/>
      <c r="B18" s="383"/>
      <c r="C18" s="260">
        <v>36982</v>
      </c>
      <c r="D18" s="269">
        <v>322.9140118492345</v>
      </c>
      <c r="E18" s="270"/>
      <c r="F18" s="271"/>
      <c r="G18" s="6"/>
      <c r="H18" s="336"/>
      <c r="I18" s="337"/>
      <c r="J18" s="6"/>
      <c r="K18" s="296"/>
      <c r="L18" s="297"/>
      <c r="M18" s="6"/>
      <c r="N18" s="336"/>
      <c r="O18" s="337"/>
      <c r="P18" s="6"/>
      <c r="Q18" s="296"/>
      <c r="R18" s="297"/>
      <c r="S18" s="6"/>
      <c r="T18" s="336"/>
      <c r="U18" s="337"/>
      <c r="V18" s="6"/>
      <c r="W18" s="296"/>
      <c r="X18" s="297"/>
      <c r="Z18" s="336"/>
      <c r="AA18" s="337"/>
      <c r="AC18" s="296"/>
      <c r="AD18" s="297"/>
      <c r="AF18" s="336"/>
      <c r="AG18" s="337"/>
    </row>
    <row r="19" spans="1:33" x14ac:dyDescent="0.15">
      <c r="B19" s="383"/>
      <c r="C19" s="260">
        <v>37012</v>
      </c>
      <c r="D19" s="269">
        <v>322.64349311980567</v>
      </c>
      <c r="E19" s="270"/>
      <c r="F19" s="271"/>
      <c r="G19" s="6"/>
      <c r="H19" s="336"/>
      <c r="I19" s="337"/>
      <c r="J19" s="6"/>
      <c r="K19" s="296"/>
      <c r="L19" s="297"/>
      <c r="M19" s="6"/>
      <c r="N19" s="336"/>
      <c r="O19" s="337"/>
      <c r="P19" s="6"/>
      <c r="Q19" s="296"/>
      <c r="R19" s="297"/>
      <c r="S19" s="6"/>
      <c r="T19" s="336"/>
      <c r="U19" s="337"/>
      <c r="V19" s="6"/>
      <c r="W19" s="296"/>
      <c r="X19" s="297"/>
      <c r="Z19" s="336"/>
      <c r="AA19" s="337"/>
      <c r="AC19" s="296"/>
      <c r="AD19" s="297"/>
      <c r="AF19" s="336"/>
      <c r="AG19" s="337"/>
    </row>
    <row r="20" spans="1:33" x14ac:dyDescent="0.15">
      <c r="B20" s="383"/>
      <c r="C20" s="260">
        <v>37043</v>
      </c>
      <c r="D20" s="269">
        <v>321.00300251983685</v>
      </c>
      <c r="E20" s="270">
        <f>AVERAGE(D8:D19)</f>
        <v>306.97734636595686</v>
      </c>
      <c r="F20" s="271"/>
      <c r="G20" s="6"/>
      <c r="H20" s="336"/>
      <c r="I20" s="337"/>
      <c r="J20" s="6"/>
      <c r="K20" s="296"/>
      <c r="L20" s="297"/>
      <c r="M20" s="6"/>
      <c r="N20" s="336"/>
      <c r="O20" s="337"/>
      <c r="P20" s="6"/>
      <c r="Q20" s="296"/>
      <c r="R20" s="297"/>
      <c r="S20" s="6"/>
      <c r="T20" s="336"/>
      <c r="U20" s="337"/>
      <c r="V20" s="6"/>
      <c r="W20" s="296"/>
      <c r="X20" s="297"/>
      <c r="Z20" s="336"/>
      <c r="AA20" s="337"/>
      <c r="AC20" s="296"/>
      <c r="AD20" s="297"/>
      <c r="AF20" s="336"/>
      <c r="AG20" s="337"/>
    </row>
    <row r="21" spans="1:33" x14ac:dyDescent="0.15">
      <c r="B21" s="383"/>
      <c r="C21" s="260">
        <v>37073</v>
      </c>
      <c r="D21" s="269">
        <v>321.04708576896479</v>
      </c>
      <c r="E21" s="270">
        <f t="shared" ref="E21:E28" si="0">AVERAGE(D9:D20)</f>
        <v>309.19603707987176</v>
      </c>
      <c r="F21" s="271">
        <f>(E21-E20)/E20</f>
        <v>7.2275389053299338E-3</v>
      </c>
      <c r="G21" s="6"/>
      <c r="H21" s="336"/>
      <c r="I21" s="337"/>
      <c r="J21" s="6"/>
      <c r="K21" s="296"/>
      <c r="L21" s="297"/>
      <c r="M21" s="6"/>
      <c r="N21" s="336"/>
      <c r="O21" s="337"/>
      <c r="P21" s="6"/>
      <c r="Q21" s="296"/>
      <c r="R21" s="297"/>
      <c r="S21" s="6"/>
      <c r="T21" s="336"/>
      <c r="U21" s="337"/>
      <c r="V21" s="6"/>
      <c r="W21" s="296"/>
      <c r="X21" s="297"/>
      <c r="Z21" s="336"/>
      <c r="AA21" s="337"/>
      <c r="AC21" s="296"/>
      <c r="AD21" s="297"/>
      <c r="AF21" s="336"/>
      <c r="AG21" s="337"/>
    </row>
    <row r="22" spans="1:33" x14ac:dyDescent="0.15">
      <c r="B22" s="383"/>
      <c r="C22" s="260">
        <v>37104</v>
      </c>
      <c r="D22" s="269">
        <v>321.51999355379235</v>
      </c>
      <c r="E22" s="270">
        <f t="shared" si="0"/>
        <v>311.18671772735314</v>
      </c>
      <c r="F22" s="271">
        <f t="shared" ref="F22:F85" si="1">(E22-E21)/E21</f>
        <v>6.4382476123623451E-3</v>
      </c>
      <c r="G22" s="6"/>
      <c r="H22" s="336"/>
      <c r="I22" s="337"/>
      <c r="J22" s="6"/>
      <c r="K22" s="296"/>
      <c r="L22" s="297"/>
      <c r="M22" s="6"/>
      <c r="N22" s="336"/>
      <c r="O22" s="337"/>
      <c r="P22" s="6"/>
      <c r="Q22" s="296"/>
      <c r="R22" s="297"/>
      <c r="S22" s="6"/>
      <c r="T22" s="336"/>
      <c r="U22" s="337"/>
      <c r="V22" s="6"/>
      <c r="W22" s="296"/>
      <c r="X22" s="297"/>
      <c r="Z22" s="336"/>
      <c r="AA22" s="337"/>
      <c r="AC22" s="296"/>
      <c r="AD22" s="297"/>
      <c r="AF22" s="336"/>
      <c r="AG22" s="337"/>
    </row>
    <row r="23" spans="1:33" x14ac:dyDescent="0.15">
      <c r="B23" s="383"/>
      <c r="C23" s="260">
        <v>37135</v>
      </c>
      <c r="D23" s="269">
        <v>323.24603618324772</v>
      </c>
      <c r="E23" s="270">
        <f t="shared" si="0"/>
        <v>313.02202998551252</v>
      </c>
      <c r="F23" s="271">
        <f t="shared" si="1"/>
        <v>5.8977846855513575E-3</v>
      </c>
      <c r="G23" s="6"/>
      <c r="H23" s="336"/>
      <c r="I23" s="337"/>
      <c r="J23" s="6"/>
      <c r="K23" s="296"/>
      <c r="L23" s="297"/>
      <c r="M23" s="6"/>
      <c r="N23" s="336"/>
      <c r="O23" s="337"/>
      <c r="P23" s="6"/>
      <c r="Q23" s="296"/>
      <c r="R23" s="297"/>
      <c r="S23" s="6"/>
      <c r="T23" s="336"/>
      <c r="U23" s="337"/>
      <c r="V23" s="6"/>
      <c r="W23" s="296"/>
      <c r="X23" s="297"/>
      <c r="Z23" s="336"/>
      <c r="AA23" s="337"/>
      <c r="AC23" s="296"/>
      <c r="AD23" s="297"/>
      <c r="AF23" s="336"/>
      <c r="AG23" s="337"/>
    </row>
    <row r="24" spans="1:33" x14ac:dyDescent="0.15">
      <c r="B24" s="383"/>
      <c r="C24" s="260">
        <v>37165</v>
      </c>
      <c r="D24" s="269">
        <v>321.63386953362118</v>
      </c>
      <c r="E24" s="270">
        <f t="shared" si="0"/>
        <v>314.92008205146027</v>
      </c>
      <c r="F24" s="271">
        <f t="shared" si="1"/>
        <v>6.0636373294096864E-3</v>
      </c>
      <c r="G24" s="6"/>
      <c r="H24" s="336"/>
      <c r="I24" s="337"/>
      <c r="J24" s="6"/>
      <c r="K24" s="296"/>
      <c r="L24" s="297"/>
      <c r="M24" s="6"/>
      <c r="N24" s="336"/>
      <c r="O24" s="337"/>
      <c r="P24" s="6"/>
      <c r="Q24" s="296"/>
      <c r="R24" s="297"/>
      <c r="S24" s="6"/>
      <c r="T24" s="336"/>
      <c r="U24" s="337"/>
      <c r="V24" s="6"/>
      <c r="W24" s="296"/>
      <c r="X24" s="297"/>
      <c r="Z24" s="336"/>
      <c r="AA24" s="337"/>
      <c r="AC24" s="296"/>
      <c r="AD24" s="297"/>
      <c r="AF24" s="336"/>
      <c r="AG24" s="337"/>
    </row>
    <row r="25" spans="1:33" x14ac:dyDescent="0.15">
      <c r="B25" s="383"/>
      <c r="C25" s="260">
        <v>37196</v>
      </c>
      <c r="D25" s="269">
        <v>321.43317813258994</v>
      </c>
      <c r="E25" s="270">
        <f t="shared" si="0"/>
        <v>316.91325414951802</v>
      </c>
      <c r="F25" s="271">
        <f t="shared" si="1"/>
        <v>6.3291362210811828E-3</v>
      </c>
      <c r="G25" s="6"/>
      <c r="H25" s="336"/>
      <c r="I25" s="337"/>
      <c r="J25" s="6"/>
      <c r="K25" s="296"/>
      <c r="L25" s="297"/>
      <c r="M25" s="6"/>
      <c r="N25" s="336"/>
      <c r="O25" s="337"/>
      <c r="P25" s="6"/>
      <c r="Q25" s="296"/>
      <c r="R25" s="297"/>
      <c r="S25" s="6"/>
      <c r="T25" s="336"/>
      <c r="U25" s="337"/>
      <c r="V25" s="6"/>
      <c r="W25" s="296"/>
      <c r="X25" s="297"/>
      <c r="Z25" s="336"/>
      <c r="AA25" s="337"/>
      <c r="AC25" s="296"/>
      <c r="AD25" s="297"/>
      <c r="AF25" s="336"/>
      <c r="AG25" s="337"/>
    </row>
    <row r="26" spans="1:33" ht="11.25" thickBot="1" x14ac:dyDescent="0.2">
      <c r="B26" s="396"/>
      <c r="C26" s="272">
        <v>37226</v>
      </c>
      <c r="D26" s="273">
        <v>320.80888832460539</v>
      </c>
      <c r="E26" s="278">
        <f t="shared" si="0"/>
        <v>318.81757737697848</v>
      </c>
      <c r="F26" s="279">
        <f t="shared" si="1"/>
        <v>6.008973126008804E-3</v>
      </c>
      <c r="G26" s="4"/>
      <c r="H26" s="343"/>
      <c r="I26" s="344"/>
      <c r="J26" s="4"/>
      <c r="K26" s="303"/>
      <c r="L26" s="304"/>
      <c r="M26" s="4"/>
      <c r="N26" s="343"/>
      <c r="O26" s="344"/>
      <c r="P26" s="4"/>
      <c r="Q26" s="303"/>
      <c r="R26" s="304"/>
      <c r="S26" s="4"/>
      <c r="T26" s="343"/>
      <c r="U26" s="344"/>
      <c r="V26" s="4"/>
      <c r="W26" s="303"/>
      <c r="X26" s="304"/>
      <c r="Z26" s="343"/>
      <c r="AA26" s="344"/>
      <c r="AC26" s="303"/>
      <c r="AD26" s="304"/>
      <c r="AF26" s="343"/>
      <c r="AG26" s="344"/>
    </row>
    <row r="27" spans="1:33" x14ac:dyDescent="0.15">
      <c r="B27" s="382">
        <v>2002</v>
      </c>
      <c r="C27" s="265">
        <v>37257</v>
      </c>
      <c r="D27" s="266">
        <v>327.24451691552645</v>
      </c>
      <c r="E27" s="280">
        <f>AVERAGE(D15:D26)</f>
        <v>320.37361768464297</v>
      </c>
      <c r="F27" s="268">
        <f>(E27-E26)/E26</f>
        <v>4.8806603464795319E-3</v>
      </c>
      <c r="G27" s="10"/>
      <c r="H27" s="345">
        <v>49.35</v>
      </c>
      <c r="I27" s="346">
        <f>(1+((E26-E20)/E20))*H27*0.98</f>
        <v>50.228378990224869</v>
      </c>
      <c r="J27" s="10"/>
      <c r="K27" s="305">
        <v>50.98</v>
      </c>
      <c r="L27" s="306">
        <f>(1+((E26-E20)/E20))*K27*0.98</f>
        <v>51.887391305403519</v>
      </c>
      <c r="M27" s="10"/>
      <c r="N27" s="345">
        <v>53.59</v>
      </c>
      <c r="O27" s="346">
        <f>(1+((E26-E20)/E20))*N27*0.98</f>
        <v>54.5438466076221</v>
      </c>
      <c r="P27" s="10"/>
      <c r="Q27" s="318">
        <v>11230000</v>
      </c>
      <c r="R27" s="319">
        <f>(1+((E26-E20)/E20))*Q27*0.98</f>
        <v>11429882.392304463</v>
      </c>
      <c r="S27" s="10"/>
      <c r="T27" s="362">
        <v>11540000</v>
      </c>
      <c r="U27" s="363">
        <f>(1+((E26-E20)/E20))*T27*0.98</f>
        <v>11745400.071878318</v>
      </c>
      <c r="V27" s="10"/>
      <c r="W27" s="318">
        <v>11960000</v>
      </c>
      <c r="X27" s="319">
        <f>(1+((E26-E20)/E20))*W27*0.98</f>
        <v>12172875.63775257</v>
      </c>
      <c r="Z27" s="345">
        <v>66.92</v>
      </c>
      <c r="AA27" s="346">
        <f>(1+((E26-E20)/E20))*Z27*0.98</f>
        <v>68.111106829297839</v>
      </c>
      <c r="AC27" s="318">
        <v>14700000</v>
      </c>
      <c r="AD27" s="319">
        <f>(1+((E26-E20)/E20))*AC27*0.98</f>
        <v>14961644.805598896</v>
      </c>
      <c r="AF27" s="345"/>
      <c r="AG27" s="346"/>
    </row>
    <row r="28" spans="1:33" x14ac:dyDescent="0.15">
      <c r="A28" s="9"/>
      <c r="B28" s="383"/>
      <c r="C28" s="260">
        <v>37288</v>
      </c>
      <c r="D28" s="269">
        <v>330.03107342324813</v>
      </c>
      <c r="E28" s="270">
        <f t="shared" si="0"/>
        <v>321.55945876897209</v>
      </c>
      <c r="F28" s="271">
        <f>(E28-E27)/E27</f>
        <v>3.7014317623881229E-3</v>
      </c>
      <c r="G28" s="8"/>
      <c r="H28" s="347"/>
      <c r="I28" s="348">
        <f t="shared" ref="I28:I38" si="2">I27*(1+F27)</f>
        <v>50.473526647830404</v>
      </c>
      <c r="J28" s="8"/>
      <c r="K28" s="307"/>
      <c r="L28" s="308">
        <f>L27*(1+F27)</f>
        <v>52.140636038630063</v>
      </c>
      <c r="M28" s="8"/>
      <c r="N28" s="347"/>
      <c r="O28" s="348">
        <f>O27*(1+F27)</f>
        <v>54.810056596904381</v>
      </c>
      <c r="P28" s="8"/>
      <c r="Q28" s="320"/>
      <c r="R28" s="321">
        <f>R27*(1+F27)</f>
        <v>11485667.766061507</v>
      </c>
      <c r="S28" s="8"/>
      <c r="T28" s="364"/>
      <c r="U28" s="365">
        <f>U27*(1+F27)</f>
        <v>11802725.380262671</v>
      </c>
      <c r="V28" s="8"/>
      <c r="W28" s="320"/>
      <c r="X28" s="321">
        <f>X27*(1+F27)</f>
        <v>12232287.309180375</v>
      </c>
      <c r="Z28" s="347"/>
      <c r="AA28" s="348">
        <f>AA27*(1+F27)</f>
        <v>68.443534007554419</v>
      </c>
      <c r="AC28" s="320"/>
      <c r="AD28" s="321">
        <f>AD27*(1+F27)</f>
        <v>15034667.512119694</v>
      </c>
      <c r="AF28" s="347"/>
      <c r="AG28" s="348"/>
    </row>
    <row r="29" spans="1:33" x14ac:dyDescent="0.15">
      <c r="A29" s="9"/>
      <c r="B29" s="383"/>
      <c r="C29" s="260">
        <v>37316</v>
      </c>
      <c r="D29" s="269">
        <v>327.96282369480491</v>
      </c>
      <c r="E29" s="270">
        <f t="shared" ref="E29:E83" si="3">AVERAGE(D17:D28)</f>
        <v>322.75141320207439</v>
      </c>
      <c r="F29" s="271">
        <f t="shared" si="1"/>
        <v>3.7067932557961819E-3</v>
      </c>
      <c r="G29" s="8"/>
      <c r="H29" s="347"/>
      <c r="I29" s="348">
        <f t="shared" si="2"/>
        <v>50.660350962524419</v>
      </c>
      <c r="J29" s="8"/>
      <c r="K29" s="307"/>
      <c r="L29" s="308">
        <f t="shared" ref="L29:L92" si="4">L28*(1+F28)</f>
        <v>52.33363104497456</v>
      </c>
      <c r="M29" s="8"/>
      <c r="N29" s="347"/>
      <c r="O29" s="348">
        <f t="shared" ref="O29:O92" si="5">O28*(1+F28)</f>
        <v>55.012932281290446</v>
      </c>
      <c r="P29" s="8"/>
      <c r="Q29" s="320"/>
      <c r="R29" s="321">
        <f t="shared" ref="R29:R92" si="6">R28*(1+F28)</f>
        <v>11528181.181543043</v>
      </c>
      <c r="S29" s="8"/>
      <c r="T29" s="364"/>
      <c r="U29" s="365">
        <f t="shared" ref="U29:U92" si="7">U28*(1+F28)</f>
        <v>11846412.362867918</v>
      </c>
      <c r="V29" s="8"/>
      <c r="W29" s="320"/>
      <c r="X29" s="321">
        <f t="shared" ref="X29:X92" si="8">X28*(1+F28)</f>
        <v>12277564.285953231</v>
      </c>
      <c r="Z29" s="347"/>
      <c r="AA29" s="348">
        <f t="shared" ref="AA29:AA92" si="9">AA28*(1+F28)</f>
        <v>68.696873078260069</v>
      </c>
      <c r="AC29" s="320"/>
      <c r="AD29" s="321">
        <f t="shared" ref="AD29:AD92" si="10">AD28*(1+F28)</f>
        <v>15090317.307985997</v>
      </c>
      <c r="AF29" s="347"/>
      <c r="AG29" s="348"/>
    </row>
    <row r="30" spans="1:33" x14ac:dyDescent="0.15">
      <c r="A30" s="9"/>
      <c r="B30" s="383"/>
      <c r="C30" s="260">
        <v>37347</v>
      </c>
      <c r="D30" s="269">
        <v>329.15038292097216</v>
      </c>
      <c r="E30" s="270">
        <f t="shared" si="3"/>
        <v>323.45733108493982</v>
      </c>
      <c r="F30" s="271">
        <f>(E30-E29)/E29</f>
        <v>2.1871875814946803E-3</v>
      </c>
      <c r="G30" s="8"/>
      <c r="H30" s="347"/>
      <c r="I30" s="348">
        <f t="shared" si="2"/>
        <v>50.84813840980857</v>
      </c>
      <c r="J30" s="8"/>
      <c r="K30" s="307"/>
      <c r="L30" s="308">
        <f t="shared" si="4"/>
        <v>52.527620995583398</v>
      </c>
      <c r="M30" s="8"/>
      <c r="N30" s="347"/>
      <c r="O30" s="348">
        <f t="shared" si="5"/>
        <v>55.216853847652303</v>
      </c>
      <c r="P30" s="8"/>
      <c r="Q30" s="320"/>
      <c r="R30" s="321">
        <f t="shared" si="6"/>
        <v>11570913.765798382</v>
      </c>
      <c r="S30" s="8"/>
      <c r="T30" s="364"/>
      <c r="U30" s="365">
        <f t="shared" si="7"/>
        <v>11890324.564319978</v>
      </c>
      <c r="V30" s="8"/>
      <c r="W30" s="320"/>
      <c r="X30" s="321">
        <f t="shared" si="8"/>
        <v>12323074.678446006</v>
      </c>
      <c r="Z30" s="347"/>
      <c r="AA30" s="348">
        <f t="shared" si="9"/>
        <v>68.951518184080854</v>
      </c>
      <c r="AC30" s="320"/>
      <c r="AD30" s="321">
        <f t="shared" si="10"/>
        <v>15146253.994411062</v>
      </c>
      <c r="AF30" s="378">
        <v>154.27000000000001</v>
      </c>
      <c r="AG30" s="348">
        <f>AF30</f>
        <v>154.27000000000001</v>
      </c>
    </row>
    <row r="31" spans="1:33" x14ac:dyDescent="0.15">
      <c r="A31" s="9"/>
      <c r="B31" s="383"/>
      <c r="C31" s="260">
        <v>37377</v>
      </c>
      <c r="D31" s="269">
        <v>332.40227012863846</v>
      </c>
      <c r="E31" s="270">
        <f t="shared" si="3"/>
        <v>323.97702867425124</v>
      </c>
      <c r="F31" s="271">
        <f t="shared" si="1"/>
        <v>1.606695966878387E-3</v>
      </c>
      <c r="G31" s="8"/>
      <c r="H31" s="347"/>
      <c r="I31" s="348">
        <f t="shared" si="2"/>
        <v>50.959352826680629</v>
      </c>
      <c r="J31" s="8"/>
      <c r="K31" s="307"/>
      <c r="L31" s="308">
        <f t="shared" si="4"/>
        <v>52.642508755910399</v>
      </c>
      <c r="M31" s="8"/>
      <c r="N31" s="347"/>
      <c r="O31" s="348">
        <f t="shared" si="5"/>
        <v>55.337623464677094</v>
      </c>
      <c r="P31" s="8"/>
      <c r="Q31" s="320"/>
      <c r="R31" s="321">
        <f t="shared" si="6"/>
        <v>11596221.524693483</v>
      </c>
      <c r="S31" s="8"/>
      <c r="T31" s="364"/>
      <c r="U31" s="365">
        <f t="shared" si="7"/>
        <v>11916330.934547</v>
      </c>
      <c r="V31" s="8"/>
      <c r="W31" s="320"/>
      <c r="X31" s="321">
        <f t="shared" si="8"/>
        <v>12350027.554348536</v>
      </c>
      <c r="Z31" s="347"/>
      <c r="AA31" s="348">
        <f t="shared" si="9"/>
        <v>69.102328088378286</v>
      </c>
      <c r="AC31" s="320"/>
      <c r="AD31" s="321">
        <f t="shared" si="10"/>
        <v>15179381.693053802</v>
      </c>
      <c r="AF31" s="347"/>
      <c r="AG31" s="348">
        <f>AG30*(1+F30)</f>
        <v>154.60741742819721</v>
      </c>
    </row>
    <row r="32" spans="1:33" x14ac:dyDescent="0.15">
      <c r="A32" s="9"/>
      <c r="B32" s="383"/>
      <c r="C32" s="260">
        <v>37408</v>
      </c>
      <c r="D32" s="269">
        <v>336.97607569959041</v>
      </c>
      <c r="E32" s="270">
        <f t="shared" si="3"/>
        <v>324.79026009165403</v>
      </c>
      <c r="F32" s="271">
        <f t="shared" si="1"/>
        <v>2.5101514781175069E-3</v>
      </c>
      <c r="G32" s="8"/>
      <c r="H32" s="347"/>
      <c r="I32" s="348">
        <f t="shared" si="2"/>
        <v>51.04122901334199</v>
      </c>
      <c r="J32" s="8"/>
      <c r="K32" s="307"/>
      <c r="L32" s="308">
        <f t="shared" si="4"/>
        <v>52.727089262414879</v>
      </c>
      <c r="M32" s="8"/>
      <c r="N32" s="347"/>
      <c r="O32" s="348">
        <f t="shared" si="5"/>
        <v>55.426534201114421</v>
      </c>
      <c r="P32" s="8"/>
      <c r="Q32" s="320"/>
      <c r="R32" s="321">
        <f t="shared" si="6"/>
        <v>11614853.127048237</v>
      </c>
      <c r="S32" s="8"/>
      <c r="T32" s="364"/>
      <c r="U32" s="365">
        <f t="shared" si="7"/>
        <v>11935476.855399525</v>
      </c>
      <c r="V32" s="8"/>
      <c r="W32" s="320"/>
      <c r="X32" s="321">
        <f t="shared" si="8"/>
        <v>12369870.293810945</v>
      </c>
      <c r="Z32" s="347"/>
      <c r="AA32" s="348">
        <f t="shared" si="9"/>
        <v>69.213354520219781</v>
      </c>
      <c r="AC32" s="320"/>
      <c r="AD32" s="321">
        <f t="shared" si="10"/>
        <v>15203770.344399739</v>
      </c>
      <c r="AF32" s="347"/>
      <c r="AG32" s="348">
        <f t="shared" ref="AG32:AG95" si="11">AG31*(1+F31)</f>
        <v>154.85582454222856</v>
      </c>
    </row>
    <row r="33" spans="1:33" x14ac:dyDescent="0.15">
      <c r="A33" s="9"/>
      <c r="B33" s="383"/>
      <c r="C33" s="260">
        <v>37438</v>
      </c>
      <c r="D33" s="269">
        <v>349.79341353040093</v>
      </c>
      <c r="E33" s="270">
        <f t="shared" si="3"/>
        <v>326.12134952330013</v>
      </c>
      <c r="F33" s="271">
        <f t="shared" si="1"/>
        <v>4.0983046451899931E-3</v>
      </c>
      <c r="G33" s="8"/>
      <c r="H33" s="347"/>
      <c r="I33" s="348">
        <f t="shared" si="2"/>
        <v>51.169350229794773</v>
      </c>
      <c r="J33" s="8"/>
      <c r="K33" s="307"/>
      <c r="L33" s="308">
        <f t="shared" si="4"/>
        <v>52.859442243463768</v>
      </c>
      <c r="M33" s="8"/>
      <c r="N33" s="347"/>
      <c r="O33" s="348">
        <f t="shared" si="5"/>
        <v>55.565663197866286</v>
      </c>
      <c r="P33" s="8"/>
      <c r="Q33" s="320"/>
      <c r="R33" s="321">
        <f t="shared" si="6"/>
        <v>11644008.167793216</v>
      </c>
      <c r="S33" s="8"/>
      <c r="T33" s="364"/>
      <c r="U33" s="365">
        <f t="shared" si="7"/>
        <v>11965436.710270144</v>
      </c>
      <c r="V33" s="8"/>
      <c r="W33" s="320"/>
      <c r="X33" s="321">
        <f t="shared" si="8"/>
        <v>12400920.542013077</v>
      </c>
      <c r="Z33" s="347"/>
      <c r="AA33" s="348">
        <f t="shared" si="9"/>
        <v>69.387090524374187</v>
      </c>
      <c r="AC33" s="320"/>
      <c r="AD33" s="321">
        <f t="shared" si="10"/>
        <v>15241934.111002695</v>
      </c>
      <c r="AF33" s="347"/>
      <c r="AG33" s="348">
        <f t="shared" si="11"/>
        <v>155.24453611909837</v>
      </c>
    </row>
    <row r="34" spans="1:33" x14ac:dyDescent="0.15">
      <c r="A34" s="9"/>
      <c r="B34" s="383"/>
      <c r="C34" s="260">
        <v>37469</v>
      </c>
      <c r="D34" s="269">
        <v>355.14644176364226</v>
      </c>
      <c r="E34" s="270">
        <f t="shared" si="3"/>
        <v>328.51687683675317</v>
      </c>
      <c r="F34" s="271">
        <f t="shared" si="1"/>
        <v>7.345509016673234E-3</v>
      </c>
      <c r="G34" s="8"/>
      <c r="H34" s="347"/>
      <c r="I34" s="348">
        <f t="shared" si="2"/>
        <v>51.379057815532889</v>
      </c>
      <c r="J34" s="8"/>
      <c r="K34" s="307"/>
      <c r="L34" s="308">
        <f t="shared" si="4"/>
        <v>53.076076341152302</v>
      </c>
      <c r="M34" s="8"/>
      <c r="N34" s="347"/>
      <c r="O34" s="348">
        <f t="shared" si="5"/>
        <v>55.79338821346316</v>
      </c>
      <c r="P34" s="8"/>
      <c r="Q34" s="320"/>
      <c r="R34" s="321">
        <f t="shared" si="6"/>
        <v>11691728.860555911</v>
      </c>
      <c r="S34" s="8"/>
      <c r="T34" s="364"/>
      <c r="U34" s="365">
        <f t="shared" si="7"/>
        <v>12014474.715121569</v>
      </c>
      <c r="V34" s="8"/>
      <c r="W34" s="320"/>
      <c r="X34" s="321">
        <f t="shared" si="8"/>
        <v>12451743.292275039</v>
      </c>
      <c r="Z34" s="347"/>
      <c r="AA34" s="348">
        <f t="shared" si="9"/>
        <v>69.671459959786446</v>
      </c>
      <c r="AC34" s="320"/>
      <c r="AD34" s="321">
        <f t="shared" si="10"/>
        <v>15304400.200371496</v>
      </c>
      <c r="AF34" s="347"/>
      <c r="AG34" s="348">
        <f t="shared" si="11"/>
        <v>155.88077552261564</v>
      </c>
    </row>
    <row r="35" spans="1:33" x14ac:dyDescent="0.15">
      <c r="A35" s="9"/>
      <c r="B35" s="383"/>
      <c r="C35" s="260">
        <v>37500</v>
      </c>
      <c r="D35" s="269">
        <v>363.61133403798635</v>
      </c>
      <c r="E35" s="270">
        <f t="shared" si="3"/>
        <v>331.31908085424067</v>
      </c>
      <c r="F35" s="271">
        <f t="shared" si="1"/>
        <v>8.5298631975001104E-3</v>
      </c>
      <c r="G35" s="8"/>
      <c r="H35" s="347"/>
      <c r="I35" s="348">
        <f t="shared" si="2"/>
        <v>51.756463147985059</v>
      </c>
      <c r="J35" s="8"/>
      <c r="K35" s="307"/>
      <c r="L35" s="308">
        <f t="shared" si="4"/>
        <v>53.465947138485873</v>
      </c>
      <c r="M35" s="8"/>
      <c r="N35" s="347"/>
      <c r="O35" s="348">
        <f t="shared" si="5"/>
        <v>56.2032190496559</v>
      </c>
      <c r="P35" s="8"/>
      <c r="Q35" s="320"/>
      <c r="R35" s="321">
        <f t="shared" si="6"/>
        <v>11777610.560321623</v>
      </c>
      <c r="S35" s="8"/>
      <c r="T35" s="364"/>
      <c r="U35" s="365">
        <f t="shared" si="7"/>
        <v>12102727.147472087</v>
      </c>
      <c r="V35" s="8"/>
      <c r="W35" s="320"/>
      <c r="X35" s="321">
        <f t="shared" si="8"/>
        <v>12543207.684901746</v>
      </c>
      <c r="Z35" s="347"/>
      <c r="AA35" s="348">
        <f t="shared" si="9"/>
        <v>70.183232297125841</v>
      </c>
      <c r="AC35" s="320"/>
      <c r="AD35" s="321">
        <f t="shared" si="10"/>
        <v>15416818.810038101</v>
      </c>
      <c r="AF35" s="347"/>
      <c r="AG35" s="348">
        <f t="shared" si="11"/>
        <v>157.02579916474301</v>
      </c>
    </row>
    <row r="36" spans="1:33" x14ac:dyDescent="0.15">
      <c r="A36" s="9"/>
      <c r="B36" s="383"/>
      <c r="C36" s="260">
        <v>37530</v>
      </c>
      <c r="D36" s="269">
        <v>362.86611003479692</v>
      </c>
      <c r="E36" s="270">
        <f t="shared" si="3"/>
        <v>334.68285567546883</v>
      </c>
      <c r="F36" s="271">
        <f t="shared" si="1"/>
        <v>1.0152674613714776E-2</v>
      </c>
      <c r="G36" s="8"/>
      <c r="H36" s="347"/>
      <c r="I36" s="348">
        <f t="shared" si="2"/>
        <v>52.19793869822383</v>
      </c>
      <c r="J36" s="8"/>
      <c r="K36" s="307"/>
      <c r="L36" s="308">
        <f t="shared" si="4"/>
        <v>53.922004353301929</v>
      </c>
      <c r="M36" s="8"/>
      <c r="N36" s="347"/>
      <c r="O36" s="348">
        <f t="shared" si="5"/>
        <v>56.682624819408602</v>
      </c>
      <c r="P36" s="8"/>
      <c r="Q36" s="320"/>
      <c r="R36" s="321">
        <f t="shared" si="6"/>
        <v>11878071.9671946</v>
      </c>
      <c r="S36" s="8"/>
      <c r="T36" s="364"/>
      <c r="U36" s="365">
        <f t="shared" si="7"/>
        <v>12205961.754356695</v>
      </c>
      <c r="V36" s="8"/>
      <c r="W36" s="320"/>
      <c r="X36" s="321">
        <f t="shared" si="8"/>
        <v>12650199.530511791</v>
      </c>
      <c r="Z36" s="347"/>
      <c r="AA36" s="348">
        <f t="shared" si="9"/>
        <v>70.781885667378702</v>
      </c>
      <c r="AC36" s="320"/>
      <c r="AD36" s="321">
        <f t="shared" si="10"/>
        <v>15548322.165428374</v>
      </c>
      <c r="AF36" s="347"/>
      <c r="AG36" s="348">
        <f t="shared" si="11"/>
        <v>158.3652077500964</v>
      </c>
    </row>
    <row r="37" spans="1:33" x14ac:dyDescent="0.15">
      <c r="A37" s="9"/>
      <c r="B37" s="383"/>
      <c r="C37" s="260">
        <v>37561</v>
      </c>
      <c r="D37" s="269">
        <v>363.3086926675835</v>
      </c>
      <c r="E37" s="270">
        <f t="shared" si="3"/>
        <v>338.11887571723344</v>
      </c>
      <c r="F37" s="271">
        <f t="shared" si="1"/>
        <v>1.0266495530014255E-2</v>
      </c>
      <c r="G37" s="8"/>
      <c r="H37" s="347"/>
      <c r="I37" s="348">
        <f t="shared" si="2"/>
        <v>52.727887385333531</v>
      </c>
      <c r="J37" s="8"/>
      <c r="K37" s="307"/>
      <c r="L37" s="308">
        <f t="shared" si="4"/>
        <v>54.46945691802032</v>
      </c>
      <c r="M37" s="8"/>
      <c r="N37" s="347"/>
      <c r="O37" s="348">
        <f t="shared" si="5"/>
        <v>57.258105065451332</v>
      </c>
      <c r="P37" s="8"/>
      <c r="Q37" s="320"/>
      <c r="R37" s="321">
        <f t="shared" si="6"/>
        <v>11998666.166915815</v>
      </c>
      <c r="S37" s="8"/>
      <c r="T37" s="364"/>
      <c r="U37" s="365">
        <f t="shared" si="7"/>
        <v>12329884.912396127</v>
      </c>
      <c r="V37" s="8"/>
      <c r="W37" s="320"/>
      <c r="X37" s="321">
        <f t="shared" si="8"/>
        <v>12778632.890143646</v>
      </c>
      <c r="Z37" s="347"/>
      <c r="AA37" s="348">
        <f t="shared" si="9"/>
        <v>71.500511121104765</v>
      </c>
      <c r="AC37" s="320"/>
      <c r="AD37" s="321">
        <f t="shared" si="10"/>
        <v>15706179.221163178</v>
      </c>
      <c r="AF37" s="347"/>
      <c r="AG37" s="348">
        <f t="shared" si="11"/>
        <v>159.97303817451649</v>
      </c>
    </row>
    <row r="38" spans="1:33" ht="11.25" thickBot="1" x14ac:dyDescent="0.2">
      <c r="A38" s="9"/>
      <c r="B38" s="384"/>
      <c r="C38" s="272">
        <v>37591</v>
      </c>
      <c r="D38" s="273">
        <v>367.92334075154042</v>
      </c>
      <c r="E38" s="274">
        <f t="shared" si="3"/>
        <v>341.60850192848301</v>
      </c>
      <c r="F38" s="275">
        <f t="shared" si="1"/>
        <v>1.0320708075960607E-2</v>
      </c>
      <c r="G38" s="8"/>
      <c r="H38" s="349"/>
      <c r="I38" s="350">
        <f t="shared" si="2"/>
        <v>53.269218005482152</v>
      </c>
      <c r="J38" s="8"/>
      <c r="K38" s="309"/>
      <c r="L38" s="310">
        <f t="shared" si="4"/>
        <v>55.02866735399148</v>
      </c>
      <c r="M38" s="8"/>
      <c r="N38" s="349"/>
      <c r="O38" s="350">
        <f t="shared" si="5"/>
        <v>57.845945145162872</v>
      </c>
      <c r="P38" s="8"/>
      <c r="Q38" s="322"/>
      <c r="R38" s="323">
        <f t="shared" si="6"/>
        <v>12121850.419484589</v>
      </c>
      <c r="S38" s="8"/>
      <c r="T38" s="366"/>
      <c r="U38" s="367">
        <f t="shared" si="7"/>
        <v>12456469.620734831</v>
      </c>
      <c r="V38" s="8"/>
      <c r="W38" s="322"/>
      <c r="X38" s="323">
        <f t="shared" si="8"/>
        <v>12909824.667589998</v>
      </c>
      <c r="Z38" s="349"/>
      <c r="AA38" s="350">
        <f t="shared" si="9"/>
        <v>72.234570798923315</v>
      </c>
      <c r="AC38" s="322"/>
      <c r="AD38" s="323">
        <f t="shared" si="10"/>
        <v>15867426.639930852</v>
      </c>
      <c r="AF38" s="349"/>
      <c r="AG38" s="350">
        <f t="shared" si="11"/>
        <v>161.61540065585797</v>
      </c>
    </row>
    <row r="39" spans="1:33" x14ac:dyDescent="0.15">
      <c r="B39" s="395">
        <v>2003</v>
      </c>
      <c r="C39" s="265">
        <v>37622</v>
      </c>
      <c r="D39" s="266">
        <v>380.10978582739523</v>
      </c>
      <c r="E39" s="281">
        <f>AVERAGE(D27:D38)</f>
        <v>345.53470629739422</v>
      </c>
      <c r="F39" s="277">
        <f t="shared" si="1"/>
        <v>1.1493286457294263E-2</v>
      </c>
      <c r="G39" s="12"/>
      <c r="H39" s="345">
        <v>43.26</v>
      </c>
      <c r="I39" s="351">
        <f>(1+((E38-E20)/E20))*H39*0.98</f>
        <v>47.177501170697852</v>
      </c>
      <c r="J39" s="12"/>
      <c r="K39" s="305">
        <v>46.5</v>
      </c>
      <c r="L39" s="311">
        <f>(1+((E38-E20)/E20))*K39*0.98</f>
        <v>50.710906251443596</v>
      </c>
      <c r="M39" s="12"/>
      <c r="N39" s="345">
        <v>51.73</v>
      </c>
      <c r="O39" s="351">
        <f>(1+((E38-E20)/E20))*N39*0.98</f>
        <v>56.414520008326392</v>
      </c>
      <c r="P39" s="12"/>
      <c r="Q39" s="318">
        <v>9920000</v>
      </c>
      <c r="R39" s="324">
        <f>(1+((E38-E20)/E20))*Q39*0.98</f>
        <v>10818326.666974636</v>
      </c>
      <c r="S39" s="12"/>
      <c r="T39" s="362">
        <v>10760000</v>
      </c>
      <c r="U39" s="368">
        <f>(1+((E38-E20)/E20))*T39*0.98</f>
        <v>11734394.650871681</v>
      </c>
      <c r="V39" s="12"/>
      <c r="W39" s="318">
        <v>11960000</v>
      </c>
      <c r="X39" s="324">
        <f>(1+((E38-E20)/E20))*W39*0.98</f>
        <v>13043063.199296033</v>
      </c>
      <c r="Z39" s="345">
        <v>97.49</v>
      </c>
      <c r="AA39" s="351">
        <f>(1+((E38-E20)/E20))*Z39*0.98</f>
        <v>106.31841398824164</v>
      </c>
      <c r="AC39" s="318">
        <v>22180000</v>
      </c>
      <c r="AD39" s="324">
        <f>(1+((E38-E20)/E20))*AC39*0.98</f>
        <v>24188557.003376752</v>
      </c>
      <c r="AF39" s="345"/>
      <c r="AG39" s="351">
        <f>AG38*(1+F38)*0.98</f>
        <v>160.01771830607439</v>
      </c>
    </row>
    <row r="40" spans="1:33" x14ac:dyDescent="0.15">
      <c r="B40" s="383"/>
      <c r="C40" s="260">
        <v>37653</v>
      </c>
      <c r="D40" s="269">
        <v>383.14393601208286</v>
      </c>
      <c r="E40" s="270">
        <f t="shared" si="3"/>
        <v>349.9401453733833</v>
      </c>
      <c r="F40" s="271">
        <f t="shared" si="1"/>
        <v>1.274962831721284E-2</v>
      </c>
      <c r="H40" s="347"/>
      <c r="I40" s="348">
        <f t="shared" ref="I40:I50" si="12">I39*(1+F39)</f>
        <v>47.719725705992019</v>
      </c>
      <c r="K40" s="307"/>
      <c r="L40" s="308">
        <f t="shared" si="4"/>
        <v>51.293741223500433</v>
      </c>
      <c r="N40" s="347"/>
      <c r="O40" s="348">
        <f t="shared" si="5"/>
        <v>57.062908247132846</v>
      </c>
      <c r="Q40" s="320"/>
      <c r="R40" s="321">
        <f t="shared" si="6"/>
        <v>10942664.794346761</v>
      </c>
      <c r="T40" s="364"/>
      <c r="U40" s="365">
        <f t="shared" si="7"/>
        <v>11869261.409997091</v>
      </c>
      <c r="W40" s="320"/>
      <c r="X40" s="321">
        <f t="shared" si="8"/>
        <v>13192970.860926136</v>
      </c>
      <c r="Z40" s="347"/>
      <c r="AA40" s="348">
        <f t="shared" si="9"/>
        <v>107.54036197589372</v>
      </c>
      <c r="AC40" s="320"/>
      <c r="AD40" s="321">
        <f t="shared" si="10"/>
        <v>24466563.018005155</v>
      </c>
      <c r="AF40" s="347"/>
      <c r="AG40" s="348">
        <f t="shared" si="11"/>
        <v>161.85684778080872</v>
      </c>
    </row>
    <row r="41" spans="1:33" x14ac:dyDescent="0.15">
      <c r="B41" s="383"/>
      <c r="C41" s="260">
        <v>37681</v>
      </c>
      <c r="D41" s="269">
        <v>384.40588119389673</v>
      </c>
      <c r="E41" s="270">
        <f t="shared" si="3"/>
        <v>354.36621725578624</v>
      </c>
      <c r="F41" s="271">
        <f t="shared" si="1"/>
        <v>1.2648082653335913E-2</v>
      </c>
      <c r="H41" s="347"/>
      <c r="I41" s="348">
        <f t="shared" si="12"/>
        <v>48.328134472142764</v>
      </c>
      <c r="K41" s="307"/>
      <c r="L41" s="308">
        <f t="shared" si="4"/>
        <v>51.947717359099364</v>
      </c>
      <c r="N41" s="347"/>
      <c r="O41" s="348">
        <f t="shared" si="5"/>
        <v>57.790439117983006</v>
      </c>
      <c r="Q41" s="320"/>
      <c r="R41" s="321">
        <f t="shared" si="6"/>
        <v>11082179.703274533</v>
      </c>
      <c r="T41" s="364"/>
      <c r="U41" s="365">
        <f t="shared" si="7"/>
        <v>12020590.081374392</v>
      </c>
      <c r="W41" s="320"/>
      <c r="X41" s="321">
        <f t="shared" si="8"/>
        <v>13361176.335802764</v>
      </c>
      <c r="Z41" s="347"/>
      <c r="AA41" s="348">
        <f t="shared" si="9"/>
        <v>108.91146162018489</v>
      </c>
      <c r="AC41" s="320"/>
      <c r="AD41" s="321">
        <f t="shared" si="10"/>
        <v>24778502.602684386</v>
      </c>
      <c r="AF41" s="347"/>
      <c r="AG41" s="348">
        <f t="shared" si="11"/>
        <v>163.92046243060972</v>
      </c>
    </row>
    <row r="42" spans="1:33" x14ac:dyDescent="0.15">
      <c r="B42" s="383"/>
      <c r="C42" s="260">
        <v>37712</v>
      </c>
      <c r="D42" s="269">
        <v>382.24490043118635</v>
      </c>
      <c r="E42" s="270">
        <f t="shared" si="3"/>
        <v>359.06980538071048</v>
      </c>
      <c r="F42" s="271">
        <f t="shared" si="1"/>
        <v>1.327324077715096E-2</v>
      </c>
      <c r="H42" s="347"/>
      <c r="I42" s="348">
        <f t="shared" si="12"/>
        <v>48.939392711427963</v>
      </c>
      <c r="K42" s="307"/>
      <c r="L42" s="308">
        <f t="shared" si="4"/>
        <v>52.60475638190939</v>
      </c>
      <c r="N42" s="347"/>
      <c r="O42" s="348">
        <f t="shared" si="5"/>
        <v>58.521377368519836</v>
      </c>
      <c r="Q42" s="320"/>
      <c r="R42" s="321">
        <f t="shared" si="6"/>
        <v>11222348.028140672</v>
      </c>
      <c r="T42" s="364"/>
      <c r="U42" s="365">
        <f t="shared" si="7"/>
        <v>12172627.498265486</v>
      </c>
      <c r="W42" s="320"/>
      <c r="X42" s="321">
        <f t="shared" si="8"/>
        <v>13530169.598443793</v>
      </c>
      <c r="Z42" s="347"/>
      <c r="AA42" s="348">
        <f t="shared" si="9"/>
        <v>110.28898278865262</v>
      </c>
      <c r="AC42" s="320"/>
      <c r="AD42" s="321">
        <f t="shared" si="10"/>
        <v>25091903.151629038</v>
      </c>
      <c r="AF42" s="347"/>
      <c r="AG42" s="348">
        <f t="shared" si="11"/>
        <v>165.99374198800513</v>
      </c>
    </row>
    <row r="43" spans="1:33" x14ac:dyDescent="0.15">
      <c r="B43" s="383"/>
      <c r="C43" s="260">
        <v>37742</v>
      </c>
      <c r="D43" s="269">
        <v>380.55966400033924</v>
      </c>
      <c r="E43" s="270">
        <f t="shared" si="3"/>
        <v>363.49434850656172</v>
      </c>
      <c r="F43" s="271">
        <f t="shared" si="1"/>
        <v>1.2322236678074448E-2</v>
      </c>
      <c r="H43" s="347"/>
      <c r="I43" s="348">
        <f t="shared" si="12"/>
        <v>49.588977054374297</v>
      </c>
      <c r="K43" s="307"/>
      <c r="L43" s="308">
        <f t="shared" si="4"/>
        <v>53.302991979389844</v>
      </c>
      <c r="N43" s="347"/>
      <c r="O43" s="348">
        <f t="shared" si="5"/>
        <v>59.298145700942712</v>
      </c>
      <c r="Q43" s="320"/>
      <c r="R43" s="321">
        <f t="shared" si="6"/>
        <v>11371304.955603167</v>
      </c>
      <c r="T43" s="364"/>
      <c r="U43" s="365">
        <f t="shared" si="7"/>
        <v>12334197.713940533</v>
      </c>
      <c r="W43" s="320"/>
      <c r="X43" s="321">
        <f t="shared" si="8"/>
        <v>13709758.797279626</v>
      </c>
      <c r="Z43" s="347"/>
      <c r="AA43" s="348">
        <f t="shared" si="9"/>
        <v>111.75287501227346</v>
      </c>
      <c r="AC43" s="320"/>
      <c r="AD43" s="321">
        <f t="shared" si="10"/>
        <v>25424954.023717564</v>
      </c>
      <c r="AF43" s="347"/>
      <c r="AG43" s="348">
        <f t="shared" si="11"/>
        <v>168.19701689291219</v>
      </c>
    </row>
    <row r="44" spans="1:33" x14ac:dyDescent="0.15">
      <c r="B44" s="383"/>
      <c r="C44" s="260">
        <v>37773</v>
      </c>
      <c r="D44" s="269">
        <v>378.62007787484049</v>
      </c>
      <c r="E44" s="270">
        <f t="shared" si="3"/>
        <v>367.50746466253685</v>
      </c>
      <c r="F44" s="271">
        <f t="shared" si="1"/>
        <v>1.1040381157130101E-2</v>
      </c>
      <c r="H44" s="347"/>
      <c r="I44" s="348">
        <f t="shared" si="12"/>
        <v>50.200024166261898</v>
      </c>
      <c r="K44" s="307"/>
      <c r="L44" s="308">
        <f t="shared" si="4"/>
        <v>53.959804062209386</v>
      </c>
      <c r="N44" s="347"/>
      <c r="O44" s="348">
        <f t="shared" si="5"/>
        <v>60.028831486840666</v>
      </c>
      <c r="Q44" s="320"/>
      <c r="R44" s="321">
        <f t="shared" si="6"/>
        <v>11511424.866604671</v>
      </c>
      <c r="T44" s="364"/>
      <c r="U44" s="365">
        <f t="shared" si="7"/>
        <v>12486182.617405873</v>
      </c>
      <c r="W44" s="320"/>
      <c r="X44" s="321">
        <f t="shared" si="8"/>
        <v>13878693.689979019</v>
      </c>
      <c r="Z44" s="347"/>
      <c r="AA44" s="348">
        <f t="shared" si="9"/>
        <v>113.12992038762997</v>
      </c>
      <c r="AC44" s="320"/>
      <c r="AD44" s="321">
        <f t="shared" si="10"/>
        <v>25738246.324726973</v>
      </c>
      <c r="AF44" s="347"/>
      <c r="AG44" s="348">
        <f t="shared" si="11"/>
        <v>170.26958034361274</v>
      </c>
    </row>
    <row r="45" spans="1:33" x14ac:dyDescent="0.15">
      <c r="B45" s="383"/>
      <c r="C45" s="260">
        <v>37803</v>
      </c>
      <c r="D45" s="269">
        <v>382.08779973197608</v>
      </c>
      <c r="E45" s="270">
        <f t="shared" si="3"/>
        <v>370.97779817714087</v>
      </c>
      <c r="F45" s="271">
        <f t="shared" si="1"/>
        <v>9.4428925893808718E-3</v>
      </c>
      <c r="H45" s="347"/>
      <c r="I45" s="348">
        <f t="shared" si="12"/>
        <v>50.754251567154569</v>
      </c>
      <c r="K45" s="307"/>
      <c r="L45" s="308">
        <f t="shared" si="4"/>
        <v>54.555540866220234</v>
      </c>
      <c r="N45" s="347"/>
      <c r="O45" s="348">
        <f t="shared" si="5"/>
        <v>60.691572666872517</v>
      </c>
      <c r="Q45" s="320"/>
      <c r="R45" s="321">
        <f t="shared" si="6"/>
        <v>11638515.38479365</v>
      </c>
      <c r="T45" s="364"/>
      <c r="U45" s="365">
        <f t="shared" si="7"/>
        <v>12624034.832699565</v>
      </c>
      <c r="W45" s="320"/>
      <c r="X45" s="321">
        <f t="shared" si="8"/>
        <v>14031919.758279443</v>
      </c>
      <c r="Z45" s="347"/>
      <c r="AA45" s="348">
        <f t="shared" si="9"/>
        <v>114.37891782898518</v>
      </c>
      <c r="AC45" s="320"/>
      <c r="AD45" s="321">
        <f t="shared" si="10"/>
        <v>26022406.374468058</v>
      </c>
      <c r="AF45" s="347"/>
      <c r="AG45" s="348">
        <f t="shared" si="11"/>
        <v>172.1494214100708</v>
      </c>
    </row>
    <row r="46" spans="1:33" x14ac:dyDescent="0.15">
      <c r="B46" s="383"/>
      <c r="C46" s="260">
        <v>37834</v>
      </c>
      <c r="D46" s="269">
        <v>379.88938391393305</v>
      </c>
      <c r="E46" s="270">
        <f t="shared" si="3"/>
        <v>373.66899702727216</v>
      </c>
      <c r="F46" s="271">
        <f t="shared" si="1"/>
        <v>7.2543393792160208E-3</v>
      </c>
      <c r="H46" s="347"/>
      <c r="I46" s="348">
        <f t="shared" si="12"/>
        <v>51.23351851315762</v>
      </c>
      <c r="K46" s="307"/>
      <c r="L46" s="308">
        <f t="shared" si="4"/>
        <v>55.070702978775529</v>
      </c>
      <c r="N46" s="347"/>
      <c r="O46" s="348">
        <f t="shared" si="5"/>
        <v>61.264676668646395</v>
      </c>
      <c r="Q46" s="320"/>
      <c r="R46" s="321">
        <f t="shared" si="6"/>
        <v>11748416.635472113</v>
      </c>
      <c r="T46" s="364"/>
      <c r="U46" s="365">
        <f t="shared" si="7"/>
        <v>12743242.237669349</v>
      </c>
      <c r="W46" s="320"/>
      <c r="X46" s="321">
        <f t="shared" si="8"/>
        <v>14164421.669379685</v>
      </c>
      <c r="Z46" s="347"/>
      <c r="AA46" s="348">
        <f t="shared" si="9"/>
        <v>115.4589856645339</v>
      </c>
      <c r="AC46" s="320"/>
      <c r="AD46" s="321">
        <f t="shared" si="10"/>
        <v>26268133.16277938</v>
      </c>
      <c r="AF46" s="347"/>
      <c r="AG46" s="348">
        <f t="shared" si="11"/>
        <v>173.77500990577016</v>
      </c>
    </row>
    <row r="47" spans="1:33" x14ac:dyDescent="0.15">
      <c r="B47" s="383"/>
      <c r="C47" s="260">
        <v>37865</v>
      </c>
      <c r="D47" s="269">
        <v>382.70505083517361</v>
      </c>
      <c r="E47" s="270">
        <f t="shared" si="3"/>
        <v>375.73090887312969</v>
      </c>
      <c r="F47" s="271">
        <f t="shared" si="1"/>
        <v>5.5180169140632476E-3</v>
      </c>
      <c r="H47" s="347"/>
      <c r="I47" s="348">
        <f t="shared" si="12"/>
        <v>51.60518384404341</v>
      </c>
      <c r="K47" s="307"/>
      <c r="L47" s="308">
        <f t="shared" si="4"/>
        <v>55.470204548035568</v>
      </c>
      <c r="N47" s="347"/>
      <c r="O47" s="348">
        <f t="shared" si="5"/>
        <v>61.709111425158689</v>
      </c>
      <c r="Q47" s="320"/>
      <c r="R47" s="321">
        <f t="shared" si="6"/>
        <v>11833643.636914255</v>
      </c>
      <c r="T47" s="364"/>
      <c r="U47" s="365">
        <f t="shared" si="7"/>
        <v>12835686.041652961</v>
      </c>
      <c r="W47" s="320"/>
      <c r="X47" s="321">
        <f t="shared" si="8"/>
        <v>14267175.191279685</v>
      </c>
      <c r="Z47" s="347"/>
      <c r="AA47" s="348">
        <f t="shared" si="9"/>
        <v>116.29656433092445</v>
      </c>
      <c r="AC47" s="320"/>
      <c r="AD47" s="321">
        <f t="shared" si="10"/>
        <v>26458691.115600619</v>
      </c>
      <c r="AF47" s="347"/>
      <c r="AG47" s="348">
        <f t="shared" si="11"/>
        <v>175.03563280325324</v>
      </c>
    </row>
    <row r="48" spans="1:33" x14ac:dyDescent="0.15">
      <c r="B48" s="383"/>
      <c r="C48" s="260">
        <v>37895</v>
      </c>
      <c r="D48" s="269">
        <v>382.64100727249064</v>
      </c>
      <c r="E48" s="270">
        <f t="shared" si="3"/>
        <v>377.32205193956207</v>
      </c>
      <c r="F48" s="271">
        <f t="shared" si="1"/>
        <v>4.2347941807727345E-3</v>
      </c>
      <c r="H48" s="347"/>
      <c r="I48" s="348">
        <f t="shared" si="12"/>
        <v>51.889942121348177</v>
      </c>
      <c r="K48" s="307"/>
      <c r="L48" s="308">
        <f t="shared" si="4"/>
        <v>55.776290074958169</v>
      </c>
      <c r="N48" s="347"/>
      <c r="O48" s="348">
        <f t="shared" si="5"/>
        <v>62.049623345754526</v>
      </c>
      <c r="Q48" s="320"/>
      <c r="R48" s="321">
        <f t="shared" si="6"/>
        <v>11898941.882657744</v>
      </c>
      <c r="T48" s="364"/>
      <c r="U48" s="365">
        <f t="shared" si="7"/>
        <v>12906513.574334407</v>
      </c>
      <c r="W48" s="320"/>
      <c r="X48" s="321">
        <f t="shared" si="8"/>
        <v>14345901.705301069</v>
      </c>
      <c r="Z48" s="347"/>
      <c r="AA48" s="348">
        <f t="shared" si="9"/>
        <v>116.93829073994993</v>
      </c>
      <c r="AC48" s="320"/>
      <c r="AD48" s="321">
        <f t="shared" si="10"/>
        <v>26604690.620700475</v>
      </c>
      <c r="AF48" s="347"/>
      <c r="AG48" s="348">
        <f t="shared" si="11"/>
        <v>176.00148238562534</v>
      </c>
    </row>
    <row r="49" spans="2:33" x14ac:dyDescent="0.15">
      <c r="B49" s="383"/>
      <c r="C49" s="260">
        <v>37926</v>
      </c>
      <c r="D49" s="269">
        <v>380.86231790561442</v>
      </c>
      <c r="E49" s="270">
        <f t="shared" si="3"/>
        <v>378.96996004270318</v>
      </c>
      <c r="F49" s="271">
        <f t="shared" si="1"/>
        <v>4.3673781976704103E-3</v>
      </c>
      <c r="H49" s="347"/>
      <c r="I49" s="348">
        <f t="shared" si="12"/>
        <v>52.109685346284301</v>
      </c>
      <c r="K49" s="307"/>
      <c r="L49" s="308">
        <f t="shared" si="4"/>
        <v>56.012491183592694</v>
      </c>
      <c r="N49" s="347"/>
      <c r="O49" s="348">
        <f t="shared" si="5"/>
        <v>62.312390729618272</v>
      </c>
      <c r="Q49" s="320"/>
      <c r="R49" s="321">
        <f t="shared" si="6"/>
        <v>11949331.452499777</v>
      </c>
      <c r="T49" s="364"/>
      <c r="U49" s="365">
        <f t="shared" si="7"/>
        <v>12961170.002913063</v>
      </c>
      <c r="W49" s="320"/>
      <c r="X49" s="321">
        <f t="shared" si="8"/>
        <v>14406653.646360615</v>
      </c>
      <c r="Z49" s="347"/>
      <c r="AA49" s="348">
        <f t="shared" si="9"/>
        <v>117.43350033308499</v>
      </c>
      <c r="AC49" s="320"/>
      <c r="AD49" s="321">
        <f t="shared" si="10"/>
        <v>26717356.009722278</v>
      </c>
      <c r="AF49" s="347"/>
      <c r="AG49" s="348">
        <f t="shared" si="11"/>
        <v>176.74681243903936</v>
      </c>
    </row>
    <row r="50" spans="2:33" ht="11.25" thickBot="1" x14ac:dyDescent="0.2">
      <c r="B50" s="396"/>
      <c r="C50" s="272">
        <v>37956</v>
      </c>
      <c r="D50" s="273">
        <v>378.30726224729835</v>
      </c>
      <c r="E50" s="278">
        <f t="shared" si="3"/>
        <v>380.4327621458724</v>
      </c>
      <c r="F50" s="279">
        <f t="shared" si="1"/>
        <v>3.8599420993800995E-3</v>
      </c>
      <c r="H50" s="352"/>
      <c r="I50" s="353">
        <f t="shared" si="12"/>
        <v>52.337268049953124</v>
      </c>
      <c r="K50" s="312"/>
      <c r="L50" s="313">
        <f t="shared" si="4"/>
        <v>56.257118916385117</v>
      </c>
      <c r="N50" s="352"/>
      <c r="O50" s="353">
        <f t="shared" si="5"/>
        <v>62.58453250633552</v>
      </c>
      <c r="Q50" s="325"/>
      <c r="R50" s="326">
        <f t="shared" si="6"/>
        <v>12001518.702162161</v>
      </c>
      <c r="T50" s="369"/>
      <c r="U50" s="370">
        <f t="shared" si="7"/>
        <v>13017776.334200084</v>
      </c>
      <c r="W50" s="325"/>
      <c r="X50" s="326">
        <f t="shared" si="8"/>
        <v>14469572.951397117</v>
      </c>
      <c r="Z50" s="352"/>
      <c r="AA50" s="353">
        <f t="shared" si="9"/>
        <v>117.94637684211581</v>
      </c>
      <c r="AC50" s="325"/>
      <c r="AD50" s="326">
        <f t="shared" si="10"/>
        <v>26834040.807858534</v>
      </c>
      <c r="AF50" s="352"/>
      <c r="AG50" s="353">
        <f t="shared" si="11"/>
        <v>177.51873261419334</v>
      </c>
    </row>
    <row r="51" spans="2:33" x14ac:dyDescent="0.15">
      <c r="B51" s="382">
        <v>2004</v>
      </c>
      <c r="C51" s="265">
        <v>37987</v>
      </c>
      <c r="D51" s="266">
        <v>385.649020893949</v>
      </c>
      <c r="E51" s="280">
        <f t="shared" si="3"/>
        <v>381.29808893718558</v>
      </c>
      <c r="F51" s="268">
        <f t="shared" si="1"/>
        <v>2.2745853601887755E-3</v>
      </c>
      <c r="G51" s="12"/>
      <c r="H51" s="345">
        <v>37.159999999999997</v>
      </c>
      <c r="I51" s="346">
        <f>(1+((E50-E20)/E20))*H51*0.98</f>
        <v>45.13083449486161</v>
      </c>
      <c r="J51" s="12"/>
      <c r="K51" s="305">
        <v>42.03</v>
      </c>
      <c r="L51" s="306">
        <f>(1+((E50-E20)/E20))*K51*0.98</f>
        <v>51.045451394484218</v>
      </c>
      <c r="M51" s="12"/>
      <c r="N51" s="345">
        <v>49.87</v>
      </c>
      <c r="O51" s="346">
        <f>(1+((E50-E20)/E20))*N51*0.98</f>
        <v>60.567134452603561</v>
      </c>
      <c r="P51" s="12"/>
      <c r="Q51" s="318">
        <v>8760000</v>
      </c>
      <c r="R51" s="319">
        <f>(1+((E50-E20)/E20))*Q51*0.98</f>
        <v>10639023.416980295</v>
      </c>
      <c r="S51" s="12"/>
      <c r="T51" s="362">
        <v>10030000</v>
      </c>
      <c r="U51" s="363">
        <f>(1+((E50-E20)/E20))*T51*0.98</f>
        <v>12181438.912364423</v>
      </c>
      <c r="V51" s="12"/>
      <c r="W51" s="318">
        <v>11960000</v>
      </c>
      <c r="X51" s="319">
        <f>(1+((E50-E20)/E20))*W51*0.98</f>
        <v>14525424.665192273</v>
      </c>
      <c r="Z51" s="345">
        <v>142.02000000000001</v>
      </c>
      <c r="AA51" s="346">
        <f>(1+((E50-E20)/E20))*Z51*0.98</f>
        <v>172.4833453972079</v>
      </c>
      <c r="AC51" s="318">
        <v>33480000</v>
      </c>
      <c r="AD51" s="319">
        <f>(1+((E50-E20)/E20))*AC51*0.98</f>
        <v>40661473.059417836</v>
      </c>
      <c r="AF51" s="345"/>
      <c r="AG51" s="346">
        <f>AG50*(1+F50)*0.98</f>
        <v>174.63986575076666</v>
      </c>
    </row>
    <row r="52" spans="2:33" x14ac:dyDescent="0.15">
      <c r="B52" s="383"/>
      <c r="C52" s="260">
        <v>38018</v>
      </c>
      <c r="D52" s="269">
        <v>383.62579026927932</v>
      </c>
      <c r="E52" s="270">
        <f t="shared" si="3"/>
        <v>381.7596918593984</v>
      </c>
      <c r="F52" s="271">
        <f t="shared" si="1"/>
        <v>1.2106090631072183E-3</v>
      </c>
      <c r="H52" s="347"/>
      <c r="I52" s="348">
        <f t="shared" ref="I52:I62" si="13">I51*(1+F51)</f>
        <v>45.233488430296731</v>
      </c>
      <c r="K52" s="307"/>
      <c r="L52" s="308">
        <f t="shared" si="4"/>
        <v>51.161558630930344</v>
      </c>
      <c r="N52" s="347"/>
      <c r="O52" s="348">
        <f t="shared" si="5"/>
        <v>60.704899569938043</v>
      </c>
      <c r="Q52" s="320"/>
      <c r="R52" s="321">
        <f t="shared" si="6"/>
        <v>10663222.783891264</v>
      </c>
      <c r="T52" s="364"/>
      <c r="U52" s="365">
        <f t="shared" si="7"/>
        <v>12209146.634980522</v>
      </c>
      <c r="W52" s="320"/>
      <c r="X52" s="321">
        <f t="shared" si="8"/>
        <v>14558463.983486244</v>
      </c>
      <c r="Z52" s="347"/>
      <c r="AA52" s="348">
        <f t="shared" si="9"/>
        <v>172.87567348952479</v>
      </c>
      <c r="AC52" s="320"/>
      <c r="AD52" s="321">
        <f t="shared" si="10"/>
        <v>40753961.050762504</v>
      </c>
      <c r="AF52" s="347"/>
      <c r="AG52" s="348">
        <f t="shared" si="11"/>
        <v>175.03709903270871</v>
      </c>
    </row>
    <row r="53" spans="2:33" x14ac:dyDescent="0.15">
      <c r="B53" s="383"/>
      <c r="C53" s="260">
        <v>38047</v>
      </c>
      <c r="D53" s="269">
        <v>384.15570054556821</v>
      </c>
      <c r="E53" s="270">
        <f t="shared" si="3"/>
        <v>381.79984638083147</v>
      </c>
      <c r="F53" s="271">
        <f t="shared" si="1"/>
        <v>1.0518271648190559E-4</v>
      </c>
      <c r="H53" s="347"/>
      <c r="I53" s="348">
        <f t="shared" si="13"/>
        <v>45.288248501346402</v>
      </c>
      <c r="K53" s="307"/>
      <c r="L53" s="308">
        <f t="shared" si="4"/>
        <v>51.223495277491637</v>
      </c>
      <c r="N53" s="347"/>
      <c r="O53" s="348">
        <f t="shared" si="5"/>
        <v>60.778389471532421</v>
      </c>
      <c r="Q53" s="320"/>
      <c r="R53" s="321">
        <f t="shared" si="6"/>
        <v>10676131.778035374</v>
      </c>
      <c r="T53" s="364"/>
      <c r="U53" s="365">
        <f t="shared" si="7"/>
        <v>12223927.138549635</v>
      </c>
      <c r="W53" s="320"/>
      <c r="X53" s="321">
        <f t="shared" si="8"/>
        <v>14576088.591929574</v>
      </c>
      <c r="Z53" s="347"/>
      <c r="AA53" s="348">
        <f t="shared" si="9"/>
        <v>173.08495834664197</v>
      </c>
      <c r="AC53" s="320"/>
      <c r="AD53" s="321">
        <f t="shared" si="10"/>
        <v>40803298.165368073</v>
      </c>
      <c r="AF53" s="347"/>
      <c r="AG53" s="348">
        <f t="shared" si="11"/>
        <v>175.2490005311777</v>
      </c>
    </row>
    <row r="54" spans="2:33" x14ac:dyDescent="0.15">
      <c r="B54" s="383"/>
      <c r="C54" s="260">
        <v>38078</v>
      </c>
      <c r="D54" s="269">
        <v>383.26981773624431</v>
      </c>
      <c r="E54" s="270">
        <f t="shared" si="3"/>
        <v>381.77899799347068</v>
      </c>
      <c r="F54" s="271">
        <f t="shared" si="1"/>
        <v>-5.4605541511901458E-5</v>
      </c>
      <c r="H54" s="347"/>
      <c r="I54" s="348">
        <f t="shared" si="13"/>
        <v>45.293012042348487</v>
      </c>
      <c r="K54" s="307"/>
      <c r="L54" s="308">
        <f t="shared" si="4"/>
        <v>51.228883103872626</v>
      </c>
      <c r="N54" s="347"/>
      <c r="O54" s="348">
        <f t="shared" si="5"/>
        <v>60.784782307640434</v>
      </c>
      <c r="Q54" s="320"/>
      <c r="R54" s="321">
        <f t="shared" si="6"/>
        <v>10677254.722577307</v>
      </c>
      <c r="T54" s="364"/>
      <c r="U54" s="365">
        <f t="shared" si="7"/>
        <v>12225212.884412145</v>
      </c>
      <c r="W54" s="320"/>
      <c r="X54" s="321">
        <f t="shared" si="8"/>
        <v>14577621.744523354</v>
      </c>
      <c r="Z54" s="347"/>
      <c r="AA54" s="348">
        <f t="shared" si="9"/>
        <v>173.10316389274303</v>
      </c>
      <c r="AC54" s="320"/>
      <c r="AD54" s="321">
        <f t="shared" si="10"/>
        <v>40807589.96711053</v>
      </c>
      <c r="AF54" s="347"/>
      <c r="AG54" s="348">
        <f t="shared" si="11"/>
        <v>175.26743369711431</v>
      </c>
    </row>
    <row r="55" spans="2:33" x14ac:dyDescent="0.15">
      <c r="B55" s="383"/>
      <c r="C55" s="260">
        <v>38108</v>
      </c>
      <c r="D55" s="269">
        <v>389.01459875720496</v>
      </c>
      <c r="E55" s="270">
        <f t="shared" si="3"/>
        <v>381.86440776889225</v>
      </c>
      <c r="F55" s="271">
        <f t="shared" si="1"/>
        <v>2.2371522758050707E-4</v>
      </c>
      <c r="H55" s="347"/>
      <c r="I55" s="348">
        <f t="shared" si="13"/>
        <v>45.290538792899206</v>
      </c>
      <c r="K55" s="307"/>
      <c r="L55" s="308">
        <f t="shared" si="4"/>
        <v>51.226085722969685</v>
      </c>
      <c r="N55" s="347"/>
      <c r="O55" s="348">
        <f t="shared" si="5"/>
        <v>60.781463121686841</v>
      </c>
      <c r="Q55" s="320"/>
      <c r="R55" s="321">
        <f t="shared" si="6"/>
        <v>10676671.685301321</v>
      </c>
      <c r="T55" s="364"/>
      <c r="U55" s="365">
        <f t="shared" si="7"/>
        <v>12224545.320042493</v>
      </c>
      <c r="W55" s="320"/>
      <c r="X55" s="321">
        <f t="shared" si="8"/>
        <v>14576825.725594038</v>
      </c>
      <c r="Z55" s="347"/>
      <c r="AA55" s="348">
        <f t="shared" si="9"/>
        <v>173.09371150074122</v>
      </c>
      <c r="AC55" s="320"/>
      <c r="AD55" s="321">
        <f t="shared" si="10"/>
        <v>40805361.646562576</v>
      </c>
      <c r="AF55" s="347"/>
      <c r="AG55" s="348">
        <f t="shared" si="11"/>
        <v>175.25786312398787</v>
      </c>
    </row>
    <row r="56" spans="2:33" x14ac:dyDescent="0.15">
      <c r="B56" s="383"/>
      <c r="C56" s="260">
        <v>38139</v>
      </c>
      <c r="D56" s="269">
        <v>387.78577028089387</v>
      </c>
      <c r="E56" s="270">
        <f t="shared" si="3"/>
        <v>382.5689856652977</v>
      </c>
      <c r="F56" s="271">
        <f t="shared" si="1"/>
        <v>1.8450996795487426E-3</v>
      </c>
      <c r="H56" s="347"/>
      <c r="I56" s="348">
        <f t="shared" si="13"/>
        <v>45.300670976092505</v>
      </c>
      <c r="K56" s="307"/>
      <c r="L56" s="308">
        <f t="shared" si="4"/>
        <v>51.237545778395258</v>
      </c>
      <c r="N56" s="347"/>
      <c r="O56" s="348">
        <f t="shared" si="5"/>
        <v>60.795060860541788</v>
      </c>
      <c r="Q56" s="320"/>
      <c r="R56" s="321">
        <f t="shared" si="6"/>
        <v>10679060.219337201</v>
      </c>
      <c r="T56" s="364"/>
      <c r="U56" s="365">
        <f t="shared" si="7"/>
        <v>12227280.136980835</v>
      </c>
      <c r="W56" s="320"/>
      <c r="X56" s="321">
        <f t="shared" si="8"/>
        <v>14580086.783478642</v>
      </c>
      <c r="Z56" s="347"/>
      <c r="AA56" s="348">
        <f t="shared" si="9"/>
        <v>173.13243519980239</v>
      </c>
      <c r="AC56" s="320"/>
      <c r="AD56" s="321">
        <f t="shared" si="10"/>
        <v>40814490.427329846</v>
      </c>
      <c r="AF56" s="347"/>
      <c r="AG56" s="348">
        <f t="shared" si="11"/>
        <v>175.29707097672195</v>
      </c>
    </row>
    <row r="57" spans="2:33" x14ac:dyDescent="0.15">
      <c r="B57" s="383"/>
      <c r="C57" s="260">
        <v>38169</v>
      </c>
      <c r="D57" s="269">
        <v>382.79632391078178</v>
      </c>
      <c r="E57" s="270">
        <f t="shared" si="3"/>
        <v>383.33279336580222</v>
      </c>
      <c r="F57" s="271">
        <f t="shared" si="1"/>
        <v>1.9965227949051666E-3</v>
      </c>
      <c r="H57" s="347"/>
      <c r="I57" s="348">
        <f t="shared" si="13"/>
        <v>45.384255229593833</v>
      </c>
      <c r="K57" s="307"/>
      <c r="L57" s="308">
        <f t="shared" si="4"/>
        <v>51.332084157691838</v>
      </c>
      <c r="N57" s="347"/>
      <c r="O57" s="348">
        <f t="shared" si="5"/>
        <v>60.907233807853721</v>
      </c>
      <c r="Q57" s="320"/>
      <c r="R57" s="321">
        <f t="shared" si="6"/>
        <v>10698764.149925781</v>
      </c>
      <c r="T57" s="364"/>
      <c r="U57" s="365">
        <f t="shared" si="7"/>
        <v>12249840.687643331</v>
      </c>
      <c r="W57" s="320"/>
      <c r="X57" s="321">
        <f t="shared" si="8"/>
        <v>14606988.496930631</v>
      </c>
      <c r="Z57" s="347"/>
      <c r="AA57" s="348">
        <f t="shared" si="9"/>
        <v>173.45188180050903</v>
      </c>
      <c r="AC57" s="320"/>
      <c r="AD57" s="321">
        <f t="shared" si="10"/>
        <v>40889797.230538256</v>
      </c>
      <c r="AF57" s="347"/>
      <c r="AG57" s="348">
        <f t="shared" si="11"/>
        <v>175.62051154620693</v>
      </c>
    </row>
    <row r="58" spans="2:33" x14ac:dyDescent="0.15">
      <c r="B58" s="383"/>
      <c r="C58" s="260">
        <v>38200</v>
      </c>
      <c r="D58" s="269">
        <v>379.46282258660057</v>
      </c>
      <c r="E58" s="270">
        <f t="shared" si="3"/>
        <v>383.39183704736934</v>
      </c>
      <c r="F58" s="271">
        <f t="shared" si="1"/>
        <v>1.5402721235690045E-4</v>
      </c>
      <c r="H58" s="347"/>
      <c r="I58" s="348">
        <f t="shared" si="13"/>
        <v>45.474865929689514</v>
      </c>
      <c r="K58" s="307"/>
      <c r="L58" s="308">
        <f t="shared" si="4"/>
        <v>51.434569833822664</v>
      </c>
      <c r="N58" s="347"/>
      <c r="O58" s="348">
        <f t="shared" si="5"/>
        <v>61.028836488525727</v>
      </c>
      <c r="Q58" s="320"/>
      <c r="R58" s="321">
        <f t="shared" si="6"/>
        <v>10720124.476428423</v>
      </c>
      <c r="T58" s="364"/>
      <c r="U58" s="365">
        <f t="shared" si="7"/>
        <v>12274297.773810169</v>
      </c>
      <c r="W58" s="320"/>
      <c r="X58" s="321">
        <f t="shared" si="8"/>
        <v>14636151.682429671</v>
      </c>
      <c r="Z58" s="347"/>
      <c r="AA58" s="348">
        <f t="shared" si="9"/>
        <v>173.79818243634296</v>
      </c>
      <c r="AC58" s="320"/>
      <c r="AD58" s="321">
        <f t="shared" si="10"/>
        <v>40971434.642788082</v>
      </c>
      <c r="AF58" s="347"/>
      <c r="AG58" s="348">
        <f t="shared" si="11"/>
        <v>175.97114190076186</v>
      </c>
    </row>
    <row r="59" spans="2:33" x14ac:dyDescent="0.15">
      <c r="B59" s="383"/>
      <c r="C59" s="260">
        <v>38231</v>
      </c>
      <c r="D59" s="269">
        <v>382.30736042938463</v>
      </c>
      <c r="E59" s="270">
        <f t="shared" si="3"/>
        <v>383.35629027009162</v>
      </c>
      <c r="F59" s="271">
        <f t="shared" si="1"/>
        <v>-9.2716573079577917E-5</v>
      </c>
      <c r="H59" s="347"/>
      <c r="I59" s="348">
        <f t="shared" si="13"/>
        <v>45.481870296520967</v>
      </c>
      <c r="K59" s="307"/>
      <c r="L59" s="308">
        <f t="shared" si="4"/>
        <v>51.442492157232941</v>
      </c>
      <c r="N59" s="347"/>
      <c r="O59" s="348">
        <f t="shared" si="5"/>
        <v>61.038236590083436</v>
      </c>
      <c r="Q59" s="320"/>
      <c r="R59" s="321">
        <f t="shared" si="6"/>
        <v>10721775.667317646</v>
      </c>
      <c r="T59" s="364"/>
      <c r="U59" s="365">
        <f t="shared" si="7"/>
        <v>12276188.349679906</v>
      </c>
      <c r="W59" s="320"/>
      <c r="X59" s="321">
        <f t="shared" si="8"/>
        <v>14638406.048072947</v>
      </c>
      <c r="Z59" s="347"/>
      <c r="AA59" s="348">
        <f t="shared" si="9"/>
        <v>173.82495208589631</v>
      </c>
      <c r="AC59" s="320"/>
      <c r="AD59" s="321">
        <f t="shared" si="10"/>
        <v>40977745.358652368</v>
      </c>
      <c r="AF59" s="347"/>
      <c r="AG59" s="348">
        <f t="shared" si="11"/>
        <v>175.99824624520409</v>
      </c>
    </row>
    <row r="60" spans="2:33" x14ac:dyDescent="0.15">
      <c r="B60" s="383"/>
      <c r="C60" s="260">
        <v>38261</v>
      </c>
      <c r="D60" s="269">
        <v>381.46854361482451</v>
      </c>
      <c r="E60" s="270">
        <f t="shared" si="3"/>
        <v>383.32314940294253</v>
      </c>
      <c r="F60" s="271">
        <f t="shared" si="1"/>
        <v>-8.6449258797180665E-5</v>
      </c>
      <c r="H60" s="347"/>
      <c r="I60" s="348">
        <f t="shared" si="13"/>
        <v>45.477653373369819</v>
      </c>
      <c r="K60" s="307"/>
      <c r="L60" s="308">
        <f t="shared" si="4"/>
        <v>51.437722585649446</v>
      </c>
      <c r="N60" s="347"/>
      <c r="O60" s="348">
        <f t="shared" si="5"/>
        <v>61.032577333959978</v>
      </c>
      <c r="Q60" s="320"/>
      <c r="R60" s="321">
        <f t="shared" si="6"/>
        <v>10720781.581020443</v>
      </c>
      <c r="T60" s="364"/>
      <c r="U60" s="365">
        <f t="shared" si="7"/>
        <v>12275050.143565644</v>
      </c>
      <c r="W60" s="320"/>
      <c r="X60" s="321">
        <f t="shared" si="8"/>
        <v>14637048.825228821</v>
      </c>
      <c r="Z60" s="347"/>
      <c r="AA60" s="348">
        <f t="shared" si="9"/>
        <v>173.80883563202318</v>
      </c>
      <c r="AC60" s="320"/>
      <c r="AD60" s="321">
        <f t="shared" si="10"/>
        <v>40973946.042530186</v>
      </c>
      <c r="AF60" s="347"/>
      <c r="AG60" s="348">
        <f t="shared" si="11"/>
        <v>175.98192829094421</v>
      </c>
    </row>
    <row r="61" spans="2:33" x14ac:dyDescent="0.15">
      <c r="B61" s="383"/>
      <c r="C61" s="260">
        <v>38292</v>
      </c>
      <c r="D61" s="269">
        <v>376.25235363302392</v>
      </c>
      <c r="E61" s="270">
        <f t="shared" si="3"/>
        <v>383.22544409813696</v>
      </c>
      <c r="F61" s="271">
        <f t="shared" si="1"/>
        <v>-2.5489017545054702E-4</v>
      </c>
      <c r="H61" s="347"/>
      <c r="I61" s="348">
        <f t="shared" si="13"/>
        <v>45.473721863943858</v>
      </c>
      <c r="K61" s="307"/>
      <c r="L61" s="308">
        <f t="shared" si="4"/>
        <v>51.433275832657699</v>
      </c>
      <c r="N61" s="347"/>
      <c r="O61" s="348">
        <f t="shared" si="5"/>
        <v>61.027301112886974</v>
      </c>
      <c r="Q61" s="320"/>
      <c r="R61" s="321">
        <f t="shared" si="6"/>
        <v>10719854.777399037</v>
      </c>
      <c r="T61" s="364"/>
      <c r="U61" s="365">
        <f t="shared" si="7"/>
        <v>12273988.974579034</v>
      </c>
      <c r="W61" s="320"/>
      <c r="X61" s="321">
        <f t="shared" si="8"/>
        <v>14635783.463206902</v>
      </c>
      <c r="Z61" s="347"/>
      <c r="AA61" s="348">
        <f t="shared" si="9"/>
        <v>173.79380998701038</v>
      </c>
      <c r="AC61" s="320"/>
      <c r="AD61" s="321">
        <f t="shared" si="10"/>
        <v>40970403.875264816</v>
      </c>
      <c r="AF61" s="347"/>
      <c r="AG61" s="348">
        <f t="shared" si="11"/>
        <v>175.96671478368177</v>
      </c>
    </row>
    <row r="62" spans="2:33" ht="11.25" thickBot="1" x14ac:dyDescent="0.2">
      <c r="B62" s="384"/>
      <c r="C62" s="272">
        <v>38322</v>
      </c>
      <c r="D62" s="273">
        <v>370.50710889674519</v>
      </c>
      <c r="E62" s="274">
        <f t="shared" si="3"/>
        <v>382.84128040875436</v>
      </c>
      <c r="F62" s="275">
        <f t="shared" si="1"/>
        <v>-1.0024482854646421E-3</v>
      </c>
      <c r="H62" s="349"/>
      <c r="I62" s="350">
        <f t="shared" si="13"/>
        <v>45.462131058999567</v>
      </c>
      <c r="K62" s="309"/>
      <c r="L62" s="310">
        <f t="shared" si="4"/>
        <v>51.420165995956715</v>
      </c>
      <c r="N62" s="349"/>
      <c r="O62" s="350">
        <f t="shared" si="5"/>
        <v>61.011745853399034</v>
      </c>
      <c r="Q62" s="322"/>
      <c r="R62" s="323">
        <f t="shared" si="6"/>
        <v>10717122.391734021</v>
      </c>
      <c r="T62" s="366"/>
      <c r="U62" s="367">
        <f t="shared" si="7"/>
        <v>12270860.455375826</v>
      </c>
      <c r="W62" s="322"/>
      <c r="X62" s="323">
        <f t="shared" si="8"/>
        <v>14632052.945792109</v>
      </c>
      <c r="Z62" s="349"/>
      <c r="AA62" s="350">
        <f t="shared" si="9"/>
        <v>173.74951165229058</v>
      </c>
      <c r="AC62" s="322"/>
      <c r="AD62" s="323">
        <f t="shared" si="10"/>
        <v>40959960.92183277</v>
      </c>
      <c r="AF62" s="349"/>
      <c r="AG62" s="350">
        <f t="shared" si="11"/>
        <v>175.92186259687711</v>
      </c>
    </row>
    <row r="63" spans="2:33" x14ac:dyDescent="0.15">
      <c r="B63" s="395">
        <v>2005</v>
      </c>
      <c r="C63" s="265">
        <v>38353</v>
      </c>
      <c r="D63" s="266">
        <v>376.95693766100294</v>
      </c>
      <c r="E63" s="281">
        <f>AVERAGE(D51:D62)</f>
        <v>382.19126762954164</v>
      </c>
      <c r="F63" s="277">
        <f>(E63-E62)/E62</f>
        <v>-1.6978649181162131E-3</v>
      </c>
      <c r="G63" s="12"/>
      <c r="H63" s="345">
        <v>31.07</v>
      </c>
      <c r="I63" s="351">
        <f>(1+((E62-E20)/E20))*H63*0.98</f>
        <v>37.973424256385883</v>
      </c>
      <c r="J63" s="12"/>
      <c r="K63" s="305">
        <v>37.56</v>
      </c>
      <c r="L63" s="311">
        <f>(1+((E62-E20)/E20))*K63*0.98</f>
        <v>45.905433378495452</v>
      </c>
      <c r="M63" s="12"/>
      <c r="N63" s="345">
        <v>48.01</v>
      </c>
      <c r="O63" s="351">
        <f>(1+((E62-E20)/E20))*N63*0.98</f>
        <v>58.677312473417643</v>
      </c>
      <c r="P63" s="12"/>
      <c r="Q63" s="318">
        <v>7740000</v>
      </c>
      <c r="R63" s="324">
        <f>(1+((E62-E20)/E20))*Q63*0.98</f>
        <v>9459745.8559519388</v>
      </c>
      <c r="S63" s="12"/>
      <c r="T63" s="362">
        <v>9350000</v>
      </c>
      <c r="U63" s="368">
        <f>(1+((E62-E20)/E20))*T63*0.98</f>
        <v>11427470.769140908</v>
      </c>
      <c r="V63" s="12"/>
      <c r="W63" s="318">
        <v>11960000</v>
      </c>
      <c r="X63" s="324">
        <f>(1+((E62-E20)/E20))*W63*0.98</f>
        <v>14617385.069403771</v>
      </c>
      <c r="Z63" s="345">
        <v>206.9</v>
      </c>
      <c r="AA63" s="351">
        <f>(1+((E62-E20)/E20))*Z63*0.98</f>
        <v>252.87098418558867</v>
      </c>
      <c r="AC63" s="318">
        <v>50520000</v>
      </c>
      <c r="AD63" s="324">
        <f>(1+((E62-E20)/E20))*AC63*0.98</f>
        <v>61745007.834973119</v>
      </c>
      <c r="AF63" s="345"/>
      <c r="AG63" s="351">
        <f>AG62*(1+F62)*0.98</f>
        <v>172.23059982679428</v>
      </c>
    </row>
    <row r="64" spans="2:33" x14ac:dyDescent="0.15">
      <c r="B64" s="383"/>
      <c r="C64" s="260">
        <v>38384</v>
      </c>
      <c r="D64" s="269">
        <v>375.31128834801348</v>
      </c>
      <c r="E64" s="270">
        <f t="shared" si="3"/>
        <v>381.46692736012955</v>
      </c>
      <c r="F64" s="271">
        <f t="shared" si="1"/>
        <v>-1.8952297730522709E-3</v>
      </c>
      <c r="H64" s="347"/>
      <c r="I64" s="348">
        <f t="shared" ref="I64:I74" si="14">I63*(1+F63)</f>
        <v>37.908950511520224</v>
      </c>
      <c r="K64" s="307"/>
      <c r="L64" s="308">
        <f t="shared" si="4"/>
        <v>45.827492153611182</v>
      </c>
      <c r="N64" s="347"/>
      <c r="O64" s="348">
        <f t="shared" si="5"/>
        <v>58.577686323079689</v>
      </c>
      <c r="Q64" s="320"/>
      <c r="R64" s="321">
        <f t="shared" si="6"/>
        <v>9443684.4853288233</v>
      </c>
      <c r="T64" s="364"/>
      <c r="U64" s="365">
        <f t="shared" si="7"/>
        <v>11408068.467419187</v>
      </c>
      <c r="W64" s="320"/>
      <c r="X64" s="321">
        <f t="shared" si="8"/>
        <v>14592566.724099835</v>
      </c>
      <c r="Z64" s="347"/>
      <c r="AA64" s="348">
        <f t="shared" si="9"/>
        <v>252.44164341273046</v>
      </c>
      <c r="AC64" s="320"/>
      <c r="AD64" s="321">
        <f t="shared" si="10"/>
        <v>61640173.152301311</v>
      </c>
      <c r="AF64" s="347"/>
      <c r="AG64" s="348">
        <f t="shared" si="11"/>
        <v>171.93817553352224</v>
      </c>
    </row>
    <row r="65" spans="2:33" x14ac:dyDescent="0.15">
      <c r="B65" s="383"/>
      <c r="C65" s="260">
        <v>38412</v>
      </c>
      <c r="D65" s="269">
        <v>379.99705067116747</v>
      </c>
      <c r="E65" s="270">
        <f t="shared" si="3"/>
        <v>380.77405220002402</v>
      </c>
      <c r="F65" s="271">
        <f t="shared" si="1"/>
        <v>-1.8163439879321714E-3</v>
      </c>
      <c r="H65" s="347"/>
      <c r="I65" s="348">
        <f t="shared" si="14"/>
        <v>37.837104339845631</v>
      </c>
      <c r="K65" s="307"/>
      <c r="L65" s="308">
        <f t="shared" si="4"/>
        <v>45.740638526057339</v>
      </c>
      <c r="N65" s="347"/>
      <c r="O65" s="348">
        <f t="shared" si="5"/>
        <v>58.466668147923677</v>
      </c>
      <c r="Q65" s="320"/>
      <c r="R65" s="321">
        <f t="shared" si="6"/>
        <v>9425786.5333249159</v>
      </c>
      <c r="T65" s="364"/>
      <c r="U65" s="365">
        <f t="shared" si="7"/>
        <v>11386447.556406716</v>
      </c>
      <c r="W65" s="320"/>
      <c r="X65" s="321">
        <f t="shared" si="8"/>
        <v>14564910.45717907</v>
      </c>
      <c r="Z65" s="347"/>
      <c r="AA65" s="348">
        <f t="shared" si="9"/>
        <v>251.96320849417643</v>
      </c>
      <c r="AC65" s="320"/>
      <c r="AD65" s="321">
        <f t="shared" si="10"/>
        <v>61523350.860926978</v>
      </c>
      <c r="AF65" s="347"/>
      <c r="AG65" s="348">
        <f t="shared" si="11"/>
        <v>171.61231318412683</v>
      </c>
    </row>
    <row r="66" spans="2:33" x14ac:dyDescent="0.15">
      <c r="B66" s="383"/>
      <c r="C66" s="260">
        <v>38443</v>
      </c>
      <c r="D66" s="269">
        <v>378.16117956506736</v>
      </c>
      <c r="E66" s="270">
        <f t="shared" si="3"/>
        <v>380.42749804382402</v>
      </c>
      <c r="F66" s="271">
        <f t="shared" si="1"/>
        <v>-9.1013070401643823E-4</v>
      </c>
      <c r="H66" s="347"/>
      <c r="I66" s="348">
        <f t="shared" si="14"/>
        <v>37.768379142857192</v>
      </c>
      <c r="K66" s="307"/>
      <c r="L66" s="308">
        <f t="shared" si="4"/>
        <v>45.657557792266353</v>
      </c>
      <c r="N66" s="347"/>
      <c r="O66" s="348">
        <f t="shared" si="5"/>
        <v>58.360472566738771</v>
      </c>
      <c r="Q66" s="320"/>
      <c r="R66" s="321">
        <f t="shared" si="6"/>
        <v>9408666.0626235791</v>
      </c>
      <c r="T66" s="364"/>
      <c r="U66" s="365">
        <f t="shared" si="7"/>
        <v>11365765.850843731</v>
      </c>
      <c r="W66" s="320"/>
      <c r="X66" s="321">
        <f t="shared" si="8"/>
        <v>14538455.569635402</v>
      </c>
      <c r="Z66" s="347"/>
      <c r="AA66" s="348">
        <f t="shared" si="9"/>
        <v>251.50555663524793</v>
      </c>
      <c r="AC66" s="320"/>
      <c r="AD66" s="321">
        <f t="shared" si="10"/>
        <v>61411603.292473294</v>
      </c>
      <c r="AF66" s="336"/>
      <c r="AG66" s="348">
        <f t="shared" si="11"/>
        <v>171.30060619081971</v>
      </c>
    </row>
    <row r="67" spans="2:33" x14ac:dyDescent="0.15">
      <c r="B67" s="383"/>
      <c r="C67" s="260">
        <v>38473</v>
      </c>
      <c r="D67" s="269">
        <v>377.27194222673523</v>
      </c>
      <c r="E67" s="270">
        <f t="shared" si="3"/>
        <v>380.00177819622581</v>
      </c>
      <c r="F67" s="271">
        <f t="shared" si="1"/>
        <v>-1.1190564556644133E-3</v>
      </c>
      <c r="H67" s="347"/>
      <c r="I67" s="348">
        <f t="shared" si="14"/>
        <v>37.734004981358346</v>
      </c>
      <c r="K67" s="307"/>
      <c r="L67" s="308">
        <f t="shared" si="4"/>
        <v>45.616003447049202</v>
      </c>
      <c r="N67" s="336"/>
      <c r="O67" s="348">
        <f t="shared" si="5"/>
        <v>58.307356908754869</v>
      </c>
      <c r="Q67" s="320"/>
      <c r="R67" s="321">
        <f t="shared" si="6"/>
        <v>9400102.9467561468</v>
      </c>
      <c r="T67" s="364"/>
      <c r="U67" s="365">
        <f t="shared" si="7"/>
        <v>11355421.518368216</v>
      </c>
      <c r="W67" s="320"/>
      <c r="X67" s="321">
        <f t="shared" si="8"/>
        <v>14525223.674832499</v>
      </c>
      <c r="Z67" s="347"/>
      <c r="AA67" s="348">
        <f t="shared" si="9"/>
        <v>251.27665370592342</v>
      </c>
      <c r="AC67" s="320"/>
      <c r="AD67" s="321">
        <f t="shared" si="10"/>
        <v>61355710.706733935</v>
      </c>
      <c r="AF67" s="336"/>
      <c r="AG67" s="348">
        <f t="shared" si="11"/>
        <v>171.14470024950882</v>
      </c>
    </row>
    <row r="68" spans="2:33" x14ac:dyDescent="0.15">
      <c r="B68" s="383"/>
      <c r="C68" s="260">
        <v>38504</v>
      </c>
      <c r="D68" s="269">
        <v>377.33772057441615</v>
      </c>
      <c r="E68" s="270">
        <f t="shared" si="3"/>
        <v>379.02322348535341</v>
      </c>
      <c r="F68" s="271">
        <f t="shared" si="1"/>
        <v>-2.575131925743501E-3</v>
      </c>
      <c r="H68" s="347"/>
      <c r="I68" s="348">
        <f t="shared" si="14"/>
        <v>37.691778499485885</v>
      </c>
      <c r="K68" s="307"/>
      <c r="L68" s="308">
        <f t="shared" si="4"/>
        <v>45.564956563910172</v>
      </c>
      <c r="N68" s="336"/>
      <c r="O68" s="348">
        <f t="shared" si="5"/>
        <v>58.242107684593392</v>
      </c>
      <c r="Q68" s="320"/>
      <c r="R68" s="321">
        <f t="shared" si="6"/>
        <v>9389583.7008696683</v>
      </c>
      <c r="T68" s="364"/>
      <c r="U68" s="365">
        <f t="shared" si="7"/>
        <v>11342714.160611296</v>
      </c>
      <c r="W68" s="320"/>
      <c r="X68" s="321">
        <f t="shared" si="8"/>
        <v>14508969.129509207</v>
      </c>
      <c r="Z68" s="347"/>
      <c r="AA68" s="348">
        <f t="shared" si="9"/>
        <v>250.99546094443605</v>
      </c>
      <c r="AC68" s="320"/>
      <c r="AD68" s="321">
        <f t="shared" si="10"/>
        <v>61287050.202575684</v>
      </c>
      <c r="AF68" s="336"/>
      <c r="AG68" s="348">
        <f t="shared" si="11"/>
        <v>170.95317966784185</v>
      </c>
    </row>
    <row r="69" spans="2:33" x14ac:dyDescent="0.15">
      <c r="B69" s="383"/>
      <c r="C69" s="260">
        <v>38534</v>
      </c>
      <c r="D69" s="269">
        <v>375.77345169047459</v>
      </c>
      <c r="E69" s="270">
        <f t="shared" si="3"/>
        <v>378.1525526764803</v>
      </c>
      <c r="F69" s="271">
        <f t="shared" si="1"/>
        <v>-2.2971436970715335E-3</v>
      </c>
      <c r="H69" s="347"/>
      <c r="I69" s="348">
        <f t="shared" si="14"/>
        <v>37.594717197333807</v>
      </c>
      <c r="K69" s="307"/>
      <c r="L69" s="308">
        <f t="shared" si="4"/>
        <v>45.447620789567331</v>
      </c>
      <c r="N69" s="336"/>
      <c r="O69" s="348">
        <f t="shared" si="5"/>
        <v>58.092126573672203</v>
      </c>
      <c r="Q69" s="320"/>
      <c r="R69" s="321">
        <f t="shared" si="6"/>
        <v>9365404.2841121182</v>
      </c>
      <c r="T69" s="364"/>
      <c r="U69" s="365">
        <f t="shared" si="7"/>
        <v>11313505.175251722</v>
      </c>
      <c r="W69" s="320"/>
      <c r="X69" s="321">
        <f t="shared" si="8"/>
        <v>14471606.61989418</v>
      </c>
      <c r="Z69" s="347"/>
      <c r="AA69" s="348">
        <f t="shared" si="9"/>
        <v>250.34911451974131</v>
      </c>
      <c r="AC69" s="320"/>
      <c r="AD69" s="321">
        <f t="shared" si="10"/>
        <v>61129227.962964386</v>
      </c>
      <c r="AF69" s="336"/>
      <c r="AG69" s="348">
        <f t="shared" si="11"/>
        <v>170.51295267707181</v>
      </c>
    </row>
    <row r="70" spans="2:33" x14ac:dyDescent="0.15">
      <c r="B70" s="383"/>
      <c r="C70" s="260">
        <v>38565</v>
      </c>
      <c r="D70" s="269">
        <v>375.48302056974052</v>
      </c>
      <c r="E70" s="270">
        <f t="shared" si="3"/>
        <v>377.56731332478802</v>
      </c>
      <c r="F70" s="271">
        <f t="shared" si="1"/>
        <v>-1.5476276638887805E-3</v>
      </c>
      <c r="H70" s="347"/>
      <c r="I70" s="348">
        <f t="shared" si="14"/>
        <v>37.508356729680763</v>
      </c>
      <c r="K70" s="307"/>
      <c r="L70" s="308">
        <f t="shared" si="4"/>
        <v>45.343221073923679</v>
      </c>
      <c r="N70" s="336"/>
      <c r="O70" s="348">
        <f t="shared" si="5"/>
        <v>57.958680611264008</v>
      </c>
      <c r="Q70" s="327"/>
      <c r="R70" s="321">
        <f t="shared" si="6"/>
        <v>9343890.6046903431</v>
      </c>
      <c r="T70" s="364"/>
      <c r="U70" s="365">
        <f t="shared" si="7"/>
        <v>11287516.428146606</v>
      </c>
      <c r="W70" s="320"/>
      <c r="X70" s="321">
        <f t="shared" si="8"/>
        <v>14438363.259960791</v>
      </c>
      <c r="Z70" s="347"/>
      <c r="AA70" s="348">
        <f t="shared" si="9"/>
        <v>249.77402662925482</v>
      </c>
      <c r="AC70" s="320"/>
      <c r="AD70" s="321">
        <f t="shared" si="10"/>
        <v>60988805.342242412</v>
      </c>
      <c r="AF70" s="336"/>
      <c r="AG70" s="348">
        <f t="shared" si="11"/>
        <v>170.1212599225606</v>
      </c>
    </row>
    <row r="71" spans="2:33" x14ac:dyDescent="0.15">
      <c r="B71" s="383"/>
      <c r="C71" s="260">
        <v>38596</v>
      </c>
      <c r="D71" s="269">
        <v>374.03449386673503</v>
      </c>
      <c r="E71" s="270">
        <f t="shared" si="3"/>
        <v>377.23566315671633</v>
      </c>
      <c r="F71" s="271">
        <f t="shared" si="1"/>
        <v>-8.7838686339460786E-4</v>
      </c>
      <c r="H71" s="347"/>
      <c r="I71" s="348">
        <f t="shared" si="14"/>
        <v>37.450307759178898</v>
      </c>
      <c r="K71" s="307"/>
      <c r="L71" s="308">
        <f t="shared" si="4"/>
        <v>45.273046650619847</v>
      </c>
      <c r="N71" s="336"/>
      <c r="O71" s="348">
        <f t="shared" si="5"/>
        <v>57.86898215378752</v>
      </c>
      <c r="Q71" s="327"/>
      <c r="R71" s="321">
        <f t="shared" si="6"/>
        <v>9329429.7411021739</v>
      </c>
      <c r="T71" s="364"/>
      <c r="U71" s="365">
        <f t="shared" si="7"/>
        <v>11270047.555465806</v>
      </c>
      <c r="W71" s="320"/>
      <c r="X71" s="321">
        <f t="shared" si="8"/>
        <v>14416018.049558399</v>
      </c>
      <c r="Z71" s="347"/>
      <c r="AA71" s="348">
        <f t="shared" si="9"/>
        <v>249.38746943592247</v>
      </c>
      <c r="AC71" s="327"/>
      <c r="AD71" s="321">
        <f t="shared" si="10"/>
        <v>60894417.379907228</v>
      </c>
      <c r="AF71" s="336"/>
      <c r="AG71" s="348">
        <f t="shared" si="11"/>
        <v>169.85797555448883</v>
      </c>
    </row>
    <row r="72" spans="2:33" x14ac:dyDescent="0.15">
      <c r="B72" s="383"/>
      <c r="C72" s="260">
        <v>38626</v>
      </c>
      <c r="D72" s="269">
        <v>374.63953091277597</v>
      </c>
      <c r="E72" s="270">
        <f t="shared" si="3"/>
        <v>376.5462576098289</v>
      </c>
      <c r="F72" s="271">
        <f t="shared" si="1"/>
        <v>-1.8275195434028367E-3</v>
      </c>
      <c r="H72" s="347"/>
      <c r="I72" s="348">
        <f t="shared" si="14"/>
        <v>37.41741190081315</v>
      </c>
      <c r="K72" s="307"/>
      <c r="L72" s="308">
        <f t="shared" si="4"/>
        <v>45.233279401176091</v>
      </c>
      <c r="N72" s="336"/>
      <c r="O72" s="348">
        <f t="shared" si="5"/>
        <v>57.818150800065617</v>
      </c>
      <c r="Q72" s="327"/>
      <c r="R72" s="321">
        <f t="shared" si="6"/>
        <v>9321234.892574627</v>
      </c>
      <c r="T72" s="364"/>
      <c r="U72" s="365">
        <f t="shared" si="7"/>
        <v>11260148.093743253</v>
      </c>
      <c r="W72" s="320"/>
      <c r="X72" s="321">
        <f t="shared" si="8"/>
        <v>14403355.208681207</v>
      </c>
      <c r="Z72" s="347"/>
      <c r="AA72" s="348">
        <f t="shared" si="9"/>
        <v>249.16841075887473</v>
      </c>
      <c r="AC72" s="327"/>
      <c r="AD72" s="321">
        <f t="shared" si="10"/>
        <v>60840928.523626648</v>
      </c>
      <c r="AF72" s="336"/>
      <c r="AG72" s="348">
        <f t="shared" si="11"/>
        <v>169.70877454011898</v>
      </c>
    </row>
    <row r="73" spans="2:33" x14ac:dyDescent="0.15">
      <c r="B73" s="383"/>
      <c r="C73" s="260">
        <v>38657</v>
      </c>
      <c r="D73" s="269">
        <v>373.42201837861757</v>
      </c>
      <c r="E73" s="270">
        <f t="shared" si="3"/>
        <v>375.97717321799149</v>
      </c>
      <c r="F73" s="271">
        <f t="shared" si="1"/>
        <v>-1.5113266440350155E-3</v>
      </c>
      <c r="H73" s="347"/>
      <c r="I73" s="348">
        <f t="shared" si="14"/>
        <v>37.34903084930086</v>
      </c>
      <c r="K73" s="307"/>
      <c r="L73" s="308">
        <f t="shared" si="4"/>
        <v>45.150614699058238</v>
      </c>
      <c r="N73" s="336"/>
      <c r="O73" s="348">
        <f t="shared" si="5"/>
        <v>57.712486999515079</v>
      </c>
      <c r="Q73" s="327"/>
      <c r="R73" s="321">
        <f t="shared" si="6"/>
        <v>9304200.1536397971</v>
      </c>
      <c r="T73" s="364"/>
      <c r="U73" s="365">
        <f t="shared" si="7"/>
        <v>11239569.953040328</v>
      </c>
      <c r="W73" s="327"/>
      <c r="X73" s="321">
        <f t="shared" si="8"/>
        <v>14377032.795546768</v>
      </c>
      <c r="Z73" s="347"/>
      <c r="AA73" s="348">
        <f t="shared" si="9"/>
        <v>248.71305061861426</v>
      </c>
      <c r="AC73" s="327"/>
      <c r="AD73" s="321">
        <f t="shared" si="10"/>
        <v>60729740.537710942</v>
      </c>
      <c r="AF73" s="336"/>
      <c r="AG73" s="348">
        <f t="shared" si="11"/>
        <v>169.39862843795996</v>
      </c>
    </row>
    <row r="74" spans="2:33" ht="11.25" thickBot="1" x14ac:dyDescent="0.2">
      <c r="B74" s="396"/>
      <c r="C74" s="272">
        <v>38687</v>
      </c>
      <c r="D74" s="273">
        <v>373.82074424497716</v>
      </c>
      <c r="E74" s="278">
        <f t="shared" si="3"/>
        <v>375.74131194679097</v>
      </c>
      <c r="F74" s="279">
        <f t="shared" si="1"/>
        <v>-6.2732869972339351E-4</v>
      </c>
      <c r="G74" s="13"/>
      <c r="H74" s="352"/>
      <c r="I74" s="353">
        <f t="shared" si="14"/>
        <v>37.292584263849427</v>
      </c>
      <c r="J74" s="13"/>
      <c r="K74" s="312"/>
      <c r="L74" s="313">
        <f t="shared" si="4"/>
        <v>45.082377372068997</v>
      </c>
      <c r="M74" s="13"/>
      <c r="N74" s="343"/>
      <c r="O74" s="353">
        <f t="shared" si="5"/>
        <v>57.625264580219188</v>
      </c>
      <c r="P74" s="13"/>
      <c r="Q74" s="328"/>
      <c r="R74" s="326">
        <f t="shared" si="6"/>
        <v>9290138.4680461679</v>
      </c>
      <c r="S74" s="13"/>
      <c r="T74" s="369"/>
      <c r="U74" s="370">
        <f t="shared" si="7"/>
        <v>11222583.291502804</v>
      </c>
      <c r="V74" s="13"/>
      <c r="W74" s="328"/>
      <c r="X74" s="326">
        <f t="shared" si="8"/>
        <v>14355304.402820693</v>
      </c>
      <c r="Z74" s="352"/>
      <c r="AA74" s="353">
        <f t="shared" si="9"/>
        <v>248.33716395849513</v>
      </c>
      <c r="AC74" s="328"/>
      <c r="AD74" s="326">
        <f t="shared" si="10"/>
        <v>60637958.062750965</v>
      </c>
      <c r="AF74" s="343"/>
      <c r="AG74" s="353">
        <f t="shared" si="11"/>
        <v>169.14261177733869</v>
      </c>
    </row>
    <row r="75" spans="2:33" x14ac:dyDescent="0.15">
      <c r="B75" s="382">
        <v>2006</v>
      </c>
      <c r="C75" s="265">
        <v>38718</v>
      </c>
      <c r="D75" s="266">
        <v>380.93622819634527</v>
      </c>
      <c r="E75" s="282">
        <f>AVERAGE(D63:D74)</f>
        <v>376.01744822581031</v>
      </c>
      <c r="F75" s="268">
        <f>(E75-E74)/E74</f>
        <v>7.3491061599966975E-4</v>
      </c>
      <c r="H75" s="354"/>
      <c r="I75" s="346">
        <f>I74*(1+F74)*0.98</f>
        <v>36.523805764344786</v>
      </c>
      <c r="K75" s="314"/>
      <c r="L75" s="306">
        <f>L74*(1+F74)*0.98</f>
        <v>44.153013984833905</v>
      </c>
      <c r="N75" s="358"/>
      <c r="O75" s="346">
        <f>O74*(1+F74)*0.98</f>
        <v>56.437332305960489</v>
      </c>
      <c r="Q75" s="329"/>
      <c r="R75" s="319">
        <f>R74*(1+F74)*0.98</f>
        <v>9098624.2876095437</v>
      </c>
      <c r="T75" s="371"/>
      <c r="U75" s="363">
        <f>U74*(1+F74)*0.98</f>
        <v>10991232.182060627</v>
      </c>
      <c r="W75" s="329"/>
      <c r="X75" s="319">
        <f>X74*(1+F74)*0.98</f>
        <v>14059372.930208027</v>
      </c>
      <c r="Z75" s="354"/>
      <c r="AA75" s="346">
        <f>AA74*(1+F74)*0.98</f>
        <v>243.21774742976933</v>
      </c>
      <c r="AC75" s="329"/>
      <c r="AD75" s="319">
        <f>AD74*(1+F74)*0.98</f>
        <v>59387919.76873827</v>
      </c>
      <c r="AF75" s="358"/>
      <c r="AG75" s="346">
        <f>AG74*(1+F74)*0.98</f>
        <v>165.65577368737209</v>
      </c>
    </row>
    <row r="76" spans="2:33" x14ac:dyDescent="0.15">
      <c r="B76" s="383"/>
      <c r="C76" s="260">
        <v>38749</v>
      </c>
      <c r="D76" s="269">
        <v>379.96988324914992</v>
      </c>
      <c r="E76" s="270">
        <f t="shared" si="3"/>
        <v>376.34905577042213</v>
      </c>
      <c r="F76" s="271">
        <f t="shared" si="1"/>
        <v>8.8189403490838178E-4</v>
      </c>
      <c r="H76" s="355"/>
      <c r="I76" s="348">
        <f t="shared" ref="I76:I86" si="15">I75*(1+F75)</f>
        <v>36.550647496937714</v>
      </c>
      <c r="K76" s="315"/>
      <c r="L76" s="308">
        <f t="shared" si="4"/>
        <v>44.185462503539746</v>
      </c>
      <c r="N76" s="359"/>
      <c r="O76" s="348">
        <f t="shared" si="5"/>
        <v>56.478808700610841</v>
      </c>
      <c r="Q76" s="330"/>
      <c r="R76" s="321">
        <f t="shared" si="6"/>
        <v>9105310.9631895013</v>
      </c>
      <c r="T76" s="372"/>
      <c r="U76" s="365">
        <f t="shared" si="7"/>
        <v>10999309.755274141</v>
      </c>
      <c r="W76" s="330"/>
      <c r="X76" s="321">
        <f t="shared" si="8"/>
        <v>14069705.312628737</v>
      </c>
      <c r="Z76" s="355"/>
      <c r="AA76" s="348">
        <f t="shared" si="9"/>
        <v>243.39649073435501</v>
      </c>
      <c r="AC76" s="330"/>
      <c r="AD76" s="321">
        <f t="shared" si="10"/>
        <v>59431564.581438452</v>
      </c>
      <c r="AF76" s="359"/>
      <c r="AG76" s="348">
        <f t="shared" si="11"/>
        <v>165.77751587405658</v>
      </c>
    </row>
    <row r="77" spans="2:33" x14ac:dyDescent="0.15">
      <c r="B77" s="383"/>
      <c r="C77" s="260">
        <v>38777</v>
      </c>
      <c r="D77" s="269">
        <v>383.85389184417676</v>
      </c>
      <c r="E77" s="270">
        <f t="shared" si="3"/>
        <v>376.73727201218344</v>
      </c>
      <c r="F77" s="271">
        <f t="shared" si="1"/>
        <v>1.0315323920943489E-3</v>
      </c>
      <c r="H77" s="355"/>
      <c r="I77" s="348">
        <f t="shared" si="15"/>
        <v>36.582881294937302</v>
      </c>
      <c r="K77" s="315"/>
      <c r="L77" s="308">
        <f t="shared" si="4"/>
        <v>44.224429399351287</v>
      </c>
      <c r="N77" s="359"/>
      <c r="O77" s="348">
        <f t="shared" si="5"/>
        <v>56.528617025102648</v>
      </c>
      <c r="Q77" s="330"/>
      <c r="R77" s="321">
        <f t="shared" si="6"/>
        <v>9113340.8826139253</v>
      </c>
      <c r="T77" s="373"/>
      <c r="U77" s="365">
        <f t="shared" si="7"/>
        <v>11009009.980935428</v>
      </c>
      <c r="W77" s="330"/>
      <c r="X77" s="321">
        <f t="shared" si="8"/>
        <v>14082113.301816864</v>
      </c>
      <c r="Z77" s="355"/>
      <c r="AA77" s="348">
        <f t="shared" si="9"/>
        <v>243.6111406476513</v>
      </c>
      <c r="AC77" s="330"/>
      <c r="AD77" s="321">
        <f t="shared" si="10"/>
        <v>59483976.923728101</v>
      </c>
      <c r="AF77" s="359"/>
      <c r="AG77" s="348">
        <f t="shared" si="11"/>
        <v>165.92371407642784</v>
      </c>
    </row>
    <row r="78" spans="2:33" x14ac:dyDescent="0.15">
      <c r="B78" s="383"/>
      <c r="C78" s="260">
        <v>38808</v>
      </c>
      <c r="D78" s="269">
        <v>391.43817302838528</v>
      </c>
      <c r="E78" s="270">
        <f t="shared" si="3"/>
        <v>377.05867544326753</v>
      </c>
      <c r="F78" s="271">
        <f t="shared" si="1"/>
        <v>8.5312352921029539E-4</v>
      </c>
      <c r="H78" s="355"/>
      <c r="I78" s="348">
        <f t="shared" si="15"/>
        <v>36.620617721989177</v>
      </c>
      <c r="K78" s="315"/>
      <c r="L78" s="308">
        <f t="shared" si="4"/>
        <v>44.270048330798609</v>
      </c>
      <c r="N78" s="359"/>
      <c r="O78" s="348">
        <f t="shared" si="5"/>
        <v>56.586928124644338</v>
      </c>
      <c r="Q78" s="330"/>
      <c r="R78" s="321">
        <f t="shared" si="6"/>
        <v>9122741.5889345407</v>
      </c>
      <c r="T78" s="373"/>
      <c r="U78" s="365">
        <f t="shared" si="7"/>
        <v>11020366.131335653</v>
      </c>
      <c r="W78" s="330"/>
      <c r="X78" s="321">
        <f t="shared" si="8"/>
        <v>14096639.457836831</v>
      </c>
      <c r="Z78" s="355"/>
      <c r="AA78" s="348">
        <f t="shared" si="9"/>
        <v>243.86243343030441</v>
      </c>
      <c r="AC78" s="330"/>
      <c r="AD78" s="321">
        <f t="shared" si="10"/>
        <v>59545336.572735526</v>
      </c>
      <c r="AF78" s="359"/>
      <c r="AG78" s="348">
        <f t="shared" si="11"/>
        <v>166.09486976211429</v>
      </c>
    </row>
    <row r="79" spans="2:33" x14ac:dyDescent="0.15">
      <c r="B79" s="383"/>
      <c r="C79" s="260">
        <v>38838</v>
      </c>
      <c r="D79" s="269">
        <v>399.04452223381213</v>
      </c>
      <c r="E79" s="270">
        <f t="shared" si="3"/>
        <v>378.16509156521073</v>
      </c>
      <c r="F79" s="271">
        <f t="shared" si="1"/>
        <v>2.9343340811413582E-3</v>
      </c>
      <c r="H79" s="355"/>
      <c r="I79" s="348">
        <f t="shared" si="15"/>
        <v>36.651859632622021</v>
      </c>
      <c r="K79" s="315"/>
      <c r="L79" s="308">
        <f t="shared" si="4"/>
        <v>44.307816150668884</v>
      </c>
      <c r="N79" s="359"/>
      <c r="O79" s="348">
        <f t="shared" si="5"/>
        <v>56.635203764473196</v>
      </c>
      <c r="Q79" s="330"/>
      <c r="R79" s="321">
        <f t="shared" si="6"/>
        <v>9130524.4144349657</v>
      </c>
      <c r="T79" s="373"/>
      <c r="U79" s="365">
        <f t="shared" si="7"/>
        <v>11029767.864982806</v>
      </c>
      <c r="W79" s="330"/>
      <c r="X79" s="321">
        <f t="shared" si="8"/>
        <v>14108665.632641105</v>
      </c>
      <c r="Z79" s="355"/>
      <c r="AA79" s="348">
        <f t="shared" si="9"/>
        <v>244.07047821015425</v>
      </c>
      <c r="AC79" s="330"/>
      <c r="AD79" s="321">
        <f t="shared" si="10"/>
        <v>59596136.100420468</v>
      </c>
      <c r="AF79" s="359"/>
      <c r="AG79" s="348">
        <f t="shared" si="11"/>
        <v>166.23656920358945</v>
      </c>
    </row>
    <row r="80" spans="2:33" x14ac:dyDescent="0.15">
      <c r="B80" s="383"/>
      <c r="C80" s="260">
        <v>38869</v>
      </c>
      <c r="D80" s="269">
        <v>409.20716813777176</v>
      </c>
      <c r="E80" s="270">
        <f t="shared" si="3"/>
        <v>379.97947323246717</v>
      </c>
      <c r="F80" s="271">
        <f t="shared" si="1"/>
        <v>4.7978560362268909E-3</v>
      </c>
      <c r="H80" s="355"/>
      <c r="I80" s="348">
        <f t="shared" si="15"/>
        <v>36.759408433479237</v>
      </c>
      <c r="K80" s="315"/>
      <c r="L80" s="308">
        <f t="shared" si="4"/>
        <v>44.437830085660742</v>
      </c>
      <c r="N80" s="359"/>
      <c r="O80" s="348">
        <f t="shared" si="5"/>
        <v>56.801390373071676</v>
      </c>
      <c r="Q80" s="330"/>
      <c r="R80" s="321">
        <f t="shared" si="6"/>
        <v>9157316.4234029353</v>
      </c>
      <c r="T80" s="373"/>
      <c r="U80" s="365">
        <f t="shared" si="7"/>
        <v>11062132.888736103</v>
      </c>
      <c r="W80" s="330"/>
      <c r="X80" s="321">
        <f t="shared" si="8"/>
        <v>14150065.171046393</v>
      </c>
      <c r="Z80" s="355"/>
      <c r="AA80" s="348">
        <f t="shared" si="9"/>
        <v>244.78666253256679</v>
      </c>
      <c r="AC80" s="330"/>
      <c r="AD80" s="321">
        <f t="shared" si="10"/>
        <v>59771011.073684275</v>
      </c>
      <c r="AF80" s="359"/>
      <c r="AG80" s="348">
        <f t="shared" si="11"/>
        <v>166.72436283413558</v>
      </c>
    </row>
    <row r="81" spans="2:33" x14ac:dyDescent="0.15">
      <c r="B81" s="383"/>
      <c r="C81" s="260">
        <v>38899</v>
      </c>
      <c r="D81" s="269">
        <v>397.14539852612836</v>
      </c>
      <c r="E81" s="270">
        <f t="shared" si="3"/>
        <v>382.63526052941353</v>
      </c>
      <c r="F81" s="271">
        <f t="shared" si="1"/>
        <v>6.9892914855471059E-3</v>
      </c>
      <c r="H81" s="355"/>
      <c r="I81" s="348">
        <f t="shared" si="15"/>
        <v>36.935774783119939</v>
      </c>
      <c r="K81" s="315"/>
      <c r="L81" s="308">
        <f t="shared" si="4"/>
        <v>44.651036396974057</v>
      </c>
      <c r="N81" s="359"/>
      <c r="O81" s="348">
        <f t="shared" si="5"/>
        <v>57.073915266739199</v>
      </c>
      <c r="Q81" s="330"/>
      <c r="R81" s="321">
        <f t="shared" si="6"/>
        <v>9201251.9092806</v>
      </c>
      <c r="T81" s="373"/>
      <c r="U81" s="365">
        <f t="shared" si="7"/>
        <v>11115207.40978987</v>
      </c>
      <c r="W81" s="330"/>
      <c r="X81" s="321">
        <f t="shared" si="8"/>
        <v>14217955.146640303</v>
      </c>
      <c r="Z81" s="355"/>
      <c r="AA81" s="348">
        <f t="shared" si="9"/>
        <v>245.96111369898651</v>
      </c>
      <c r="AC81" s="330"/>
      <c r="AD81" s="321">
        <f t="shared" si="10"/>
        <v>60057783.779955536</v>
      </c>
      <c r="AF81" s="359"/>
      <c r="AG81" s="348">
        <f t="shared" si="11"/>
        <v>167.52428232474543</v>
      </c>
    </row>
    <row r="82" spans="2:33" x14ac:dyDescent="0.15">
      <c r="B82" s="383"/>
      <c r="C82" s="260">
        <v>38930</v>
      </c>
      <c r="D82" s="269">
        <v>395.31222117757011</v>
      </c>
      <c r="E82" s="270">
        <f t="shared" si="3"/>
        <v>384.4162560990514</v>
      </c>
      <c r="F82" s="271">
        <f t="shared" si="1"/>
        <v>4.6545516144374252E-3</v>
      </c>
      <c r="H82" s="355"/>
      <c r="I82" s="348">
        <f t="shared" si="15"/>
        <v>37.193929679323688</v>
      </c>
      <c r="K82" s="315"/>
      <c r="L82" s="308">
        <f t="shared" si="4"/>
        <v>44.963115505484282</v>
      </c>
      <c r="N82" s="359"/>
      <c r="O82" s="348">
        <f t="shared" si="5"/>
        <v>57.472821496759863</v>
      </c>
      <c r="Q82" s="330"/>
      <c r="R82" s="321">
        <f t="shared" si="6"/>
        <v>9265562.140906509</v>
      </c>
      <c r="T82" s="373"/>
      <c r="U82" s="365">
        <f t="shared" si="7"/>
        <v>11192894.834299205</v>
      </c>
      <c r="W82" s="330"/>
      <c r="X82" s="321">
        <f t="shared" si="8"/>
        <v>14317328.579488607</v>
      </c>
      <c r="Z82" s="355"/>
      <c r="AA82" s="348">
        <f t="shared" si="9"/>
        <v>247.68020761673853</v>
      </c>
      <c r="AC82" s="330"/>
      <c r="AD82" s="321">
        <f t="shared" si="10"/>
        <v>60477545.136769615</v>
      </c>
      <c r="AF82" s="359"/>
      <c r="AG82" s="348">
        <f t="shared" si="11"/>
        <v>168.69515836482017</v>
      </c>
    </row>
    <row r="83" spans="2:33" x14ac:dyDescent="0.15">
      <c r="B83" s="383"/>
      <c r="C83" s="260">
        <v>38961</v>
      </c>
      <c r="D83" s="269">
        <v>395.45884380574813</v>
      </c>
      <c r="E83" s="270">
        <f t="shared" si="3"/>
        <v>386.06868948303713</v>
      </c>
      <c r="F83" s="271">
        <f t="shared" si="1"/>
        <v>4.298552305654733E-3</v>
      </c>
      <c r="H83" s="355"/>
      <c r="I83" s="348">
        <f t="shared" si="15"/>
        <v>37.367050744759858</v>
      </c>
      <c r="K83" s="315"/>
      <c r="L83" s="308">
        <f t="shared" si="4"/>
        <v>45.17239864735047</v>
      </c>
      <c r="N83" s="359"/>
      <c r="O83" s="348">
        <f t="shared" si="5"/>
        <v>57.740331710843876</v>
      </c>
      <c r="Q83" s="330"/>
      <c r="R83" s="321">
        <f t="shared" si="6"/>
        <v>9308689.1781281363</v>
      </c>
      <c r="T83" s="373"/>
      <c r="U83" s="365">
        <f t="shared" si="7"/>
        <v>11244992.741020421</v>
      </c>
      <c r="W83" s="330"/>
      <c r="X83" s="321">
        <f t="shared" si="8"/>
        <v>14383969.324342696</v>
      </c>
      <c r="Z83" s="355"/>
      <c r="AA83" s="348">
        <f t="shared" si="9"/>
        <v>248.83304792696521</v>
      </c>
      <c r="AC83" s="330"/>
      <c r="AD83" s="321">
        <f t="shared" si="10"/>
        <v>60759040.992123179</v>
      </c>
      <c r="AF83" s="359"/>
      <c r="AG83" s="348">
        <f t="shared" si="11"/>
        <v>169.48035868653491</v>
      </c>
    </row>
    <row r="84" spans="2:33" x14ac:dyDescent="0.15">
      <c r="B84" s="383"/>
      <c r="C84" s="260">
        <v>38991</v>
      </c>
      <c r="D84" s="269">
        <v>390.19820956336849</v>
      </c>
      <c r="E84" s="270">
        <f t="shared" ref="E84:E89" si="16">AVERAGE(D72:D83)</f>
        <v>387.8540519779549</v>
      </c>
      <c r="F84" s="271">
        <f t="shared" si="1"/>
        <v>4.62446850405932E-3</v>
      </c>
      <c r="H84" s="355"/>
      <c r="I84" s="348">
        <f t="shared" si="15"/>
        <v>37.52767496689426</v>
      </c>
      <c r="K84" s="315"/>
      <c r="L84" s="308">
        <f t="shared" si="4"/>
        <v>45.366574565707992</v>
      </c>
      <c r="N84" s="359"/>
      <c r="O84" s="348">
        <f t="shared" si="5"/>
        <v>57.98853154684879</v>
      </c>
      <c r="Q84" s="330"/>
      <c r="R84" s="321">
        <f t="shared" si="6"/>
        <v>9348703.0654574018</v>
      </c>
      <c r="T84" s="373"/>
      <c r="U84" s="365">
        <f t="shared" si="7"/>
        <v>11293329.930494403</v>
      </c>
      <c r="W84" s="330"/>
      <c r="X84" s="321">
        <f t="shared" si="8"/>
        <v>14445799.568846315</v>
      </c>
      <c r="Z84" s="359"/>
      <c r="AA84" s="348">
        <f t="shared" si="9"/>
        <v>249.90266979885473</v>
      </c>
      <c r="AC84" s="330"/>
      <c r="AD84" s="321">
        <f t="shared" si="10"/>
        <v>61020216.907869235</v>
      </c>
      <c r="AF84" s="359"/>
      <c r="AG84" s="348">
        <f t="shared" si="11"/>
        <v>170.20887887313009</v>
      </c>
    </row>
    <row r="85" spans="2:33" x14ac:dyDescent="0.15">
      <c r="B85" s="383"/>
      <c r="C85" s="260">
        <v>39022</v>
      </c>
      <c r="D85" s="269">
        <v>388.91377220176781</v>
      </c>
      <c r="E85" s="270">
        <f t="shared" si="16"/>
        <v>389.15060853217091</v>
      </c>
      <c r="F85" s="271">
        <f t="shared" si="1"/>
        <v>3.3428980504494128E-3</v>
      </c>
      <c r="H85" s="355"/>
      <c r="I85" s="348">
        <f t="shared" si="15"/>
        <v>37.70122051780924</v>
      </c>
      <c r="K85" s="315"/>
      <c r="L85" s="308">
        <f t="shared" si="4"/>
        <v>45.576370860924165</v>
      </c>
      <c r="N85" s="359"/>
      <c r="O85" s="348">
        <f t="shared" si="5"/>
        <v>58.256697684583841</v>
      </c>
      <c r="Q85" s="330"/>
      <c r="R85" s="321">
        <f t="shared" si="6"/>
        <v>9391935.8483374119</v>
      </c>
      <c r="T85" s="373"/>
      <c r="U85" s="365">
        <f t="shared" si="7"/>
        <v>11345555.579063924</v>
      </c>
      <c r="W85" s="330"/>
      <c r="X85" s="321">
        <f t="shared" si="8"/>
        <v>14512603.713968398</v>
      </c>
      <c r="Z85" s="359"/>
      <c r="AA85" s="348">
        <f t="shared" si="9"/>
        <v>251.05833682441985</v>
      </c>
      <c r="AC85" s="330"/>
      <c r="AD85" s="321">
        <f t="shared" si="10"/>
        <v>61302402.979070544</v>
      </c>
      <c r="AF85" s="359"/>
      <c r="AG85" s="348">
        <f t="shared" si="11"/>
        <v>170.99600447259013</v>
      </c>
    </row>
    <row r="86" spans="2:33" ht="11.25" thickBot="1" x14ac:dyDescent="0.2">
      <c r="B86" s="384"/>
      <c r="C86" s="272">
        <v>39052</v>
      </c>
      <c r="D86" s="273">
        <v>385.05877628624228</v>
      </c>
      <c r="E86" s="274">
        <f t="shared" si="16"/>
        <v>390.44158801743339</v>
      </c>
      <c r="F86" s="275">
        <f t="shared" ref="F86:F91" si="17">(E86-E85)/E85</f>
        <v>3.3174289258647224E-3</v>
      </c>
      <c r="H86" s="356"/>
      <c r="I86" s="350">
        <f t="shared" si="15"/>
        <v>37.827251854377792</v>
      </c>
      <c r="K86" s="316"/>
      <c r="L86" s="310">
        <f t="shared" si="4"/>
        <v>45.728728022221709</v>
      </c>
      <c r="N86" s="360"/>
      <c r="O86" s="350">
        <f t="shared" si="5"/>
        <v>58.451443885699263</v>
      </c>
      <c r="Q86" s="331"/>
      <c r="R86" s="323">
        <f t="shared" si="6"/>
        <v>9423332.1323747654</v>
      </c>
      <c r="T86" s="374"/>
      <c r="U86" s="367">
        <f t="shared" si="7"/>
        <v>11383482.614690444</v>
      </c>
      <c r="W86" s="331"/>
      <c r="X86" s="323">
        <f t="shared" si="8"/>
        <v>14561117.868630769</v>
      </c>
      <c r="Z86" s="360"/>
      <c r="AA86" s="350">
        <f t="shared" si="9"/>
        <v>251.89759924913932</v>
      </c>
      <c r="AC86" s="331"/>
      <c r="AD86" s="323">
        <f t="shared" si="10"/>
        <v>61507330.662477151</v>
      </c>
      <c r="AF86" s="360"/>
      <c r="AG86" s="350">
        <f>AG85*(1+F85)</f>
        <v>171.56762668257622</v>
      </c>
    </row>
    <row r="87" spans="2:33" x14ac:dyDescent="0.15">
      <c r="B87" s="382">
        <v>2007</v>
      </c>
      <c r="C87" s="283">
        <v>39083</v>
      </c>
      <c r="D87" s="284">
        <v>393.58681875853802</v>
      </c>
      <c r="E87" s="282">
        <f t="shared" si="16"/>
        <v>391.37809068753882</v>
      </c>
      <c r="F87" s="285">
        <f t="shared" si="17"/>
        <v>2.3985730486876591E-3</v>
      </c>
      <c r="H87" s="357"/>
      <c r="I87" s="346">
        <f>I86*(1+F86)*0.98</f>
        <v>37.193686252388162</v>
      </c>
      <c r="K87" s="317"/>
      <c r="L87" s="306">
        <f>L86*(1+F86)*0.98</f>
        <v>44.962821230759516</v>
      </c>
      <c r="N87" s="361"/>
      <c r="O87" s="346">
        <f>O86*(1+F86)*0.98</f>
        <v>57.47244534847615</v>
      </c>
      <c r="Q87" s="332"/>
      <c r="R87" s="319">
        <f>R86*(1+F86)*0.98</f>
        <v>9265501.4996293597</v>
      </c>
      <c r="T87" s="375"/>
      <c r="U87" s="363">
        <f>U86*(1+F86)*0.98</f>
        <v>11192821.579009624</v>
      </c>
      <c r="W87" s="332"/>
      <c r="X87" s="319">
        <f>X86*(1+F86)*0.98</f>
        <v>14317234.875396267</v>
      </c>
      <c r="Z87" s="361"/>
      <c r="AA87" s="346">
        <f>AA86*(1+F86)*0.98</f>
        <v>247.67858659861938</v>
      </c>
      <c r="AC87" s="332"/>
      <c r="AD87" s="319">
        <f>AD86*(1+F86)*0.98</f>
        <v>60477149.323162176</v>
      </c>
      <c r="AF87" s="361"/>
      <c r="AG87" s="346">
        <f>AG86*(1+F86)*0.98</f>
        <v>168.69405428827346</v>
      </c>
    </row>
    <row r="88" spans="2:33" x14ac:dyDescent="0.15">
      <c r="B88" s="383"/>
      <c r="C88" s="260">
        <v>39114</v>
      </c>
      <c r="D88" s="269">
        <v>391.50905140998225</v>
      </c>
      <c r="E88" s="270">
        <f t="shared" si="16"/>
        <v>392.43230656772158</v>
      </c>
      <c r="F88" s="286">
        <f t="shared" si="17"/>
        <v>2.6935996297871773E-3</v>
      </c>
      <c r="H88" s="347"/>
      <c r="I88" s="348">
        <f t="shared" ref="I88:I97" si="18">I87*(1+F87)</f>
        <v>37.28289802581449</v>
      </c>
      <c r="K88" s="307"/>
      <c r="L88" s="308">
        <f t="shared" si="4"/>
        <v>45.070667841956578</v>
      </c>
      <c r="N88" s="336"/>
      <c r="O88" s="348">
        <f t="shared" si="5"/>
        <v>57.610297206931186</v>
      </c>
      <c r="Q88" s="327"/>
      <c r="R88" s="321">
        <f t="shared" si="6"/>
        <v>9287725.4818089474</v>
      </c>
      <c r="T88" s="376"/>
      <c r="U88" s="365">
        <f t="shared" si="7"/>
        <v>11219668.379187807</v>
      </c>
      <c r="W88" s="327"/>
      <c r="X88" s="321">
        <f t="shared" si="8"/>
        <v>14351575.809100125</v>
      </c>
      <c r="Z88" s="336"/>
      <c r="AA88" s="348">
        <f t="shared" si="9"/>
        <v>248.27266178117191</v>
      </c>
      <c r="AC88" s="327"/>
      <c r="AD88" s="321">
        <f t="shared" si="10"/>
        <v>60622208.183590174</v>
      </c>
      <c r="AF88" s="336"/>
      <c r="AG88" s="348">
        <f t="shared" si="11"/>
        <v>169.09867930036319</v>
      </c>
    </row>
    <row r="89" spans="2:33" x14ac:dyDescent="0.15">
      <c r="B89" s="383"/>
      <c r="C89" s="260">
        <v>39142</v>
      </c>
      <c r="D89" s="269">
        <v>389.59014493476235</v>
      </c>
      <c r="E89" s="270">
        <f t="shared" si="16"/>
        <v>393.39390391445767</v>
      </c>
      <c r="F89" s="286">
        <f t="shared" si="17"/>
        <v>2.4503521515503537E-3</v>
      </c>
      <c r="H89" s="347"/>
      <c r="I89" s="348">
        <f t="shared" si="18"/>
        <v>37.383323226134216</v>
      </c>
      <c r="K89" s="307"/>
      <c r="L89" s="308">
        <f t="shared" si="4"/>
        <v>45.192070176169935</v>
      </c>
      <c r="N89" s="336"/>
      <c r="O89" s="348">
        <f t="shared" si="5"/>
        <v>57.76547628215971</v>
      </c>
      <c r="Q89" s="327"/>
      <c r="R89" s="321">
        <f t="shared" si="6"/>
        <v>9312742.8957283124</v>
      </c>
      <c r="T89" s="376"/>
      <c r="U89" s="365">
        <f t="shared" si="7"/>
        <v>11249889.673780324</v>
      </c>
      <c r="W89" s="327"/>
      <c r="X89" s="321">
        <f t="shared" si="8"/>
        <v>14390233.20838638</v>
      </c>
      <c r="Z89" s="336"/>
      <c r="AA89" s="348">
        <f t="shared" si="9"/>
        <v>248.94140893103196</v>
      </c>
      <c r="AC89" s="327"/>
      <c r="AD89" s="321">
        <f t="shared" si="10"/>
        <v>60785500.141110376</v>
      </c>
      <c r="AF89" s="336"/>
      <c r="AG89" s="348">
        <f t="shared" si="11"/>
        <v>169.55416344032415</v>
      </c>
    </row>
    <row r="90" spans="2:33" x14ac:dyDescent="0.15">
      <c r="B90" s="383"/>
      <c r="C90" s="260">
        <v>39173</v>
      </c>
      <c r="D90" s="269">
        <v>384.05291260795315</v>
      </c>
      <c r="E90" s="270">
        <f t="shared" ref="E90:E97" si="19">AVERAGE(D78:D89)</f>
        <v>393.87192500533973</v>
      </c>
      <c r="F90" s="286">
        <f t="shared" si="17"/>
        <v>1.2151207380834519E-3</v>
      </c>
      <c r="H90" s="347"/>
      <c r="I90" s="348">
        <f t="shared" si="18"/>
        <v>37.474925532633478</v>
      </c>
      <c r="K90" s="307"/>
      <c r="L90" s="308">
        <f t="shared" si="4"/>
        <v>45.302806662559128</v>
      </c>
      <c r="N90" s="336"/>
      <c r="O90" s="348">
        <f t="shared" si="5"/>
        <v>57.907022041253036</v>
      </c>
      <c r="Q90" s="327"/>
      <c r="R90" s="321">
        <f t="shared" si="6"/>
        <v>9335562.3953196965</v>
      </c>
      <c r="T90" s="376"/>
      <c r="U90" s="365">
        <f t="shared" si="7"/>
        <v>11277455.865147177</v>
      </c>
      <c r="W90" s="327"/>
      <c r="X90" s="321">
        <f t="shared" si="8"/>
        <v>14425494.347289862</v>
      </c>
      <c r="Z90" s="336"/>
      <c r="AA90" s="348">
        <f t="shared" si="9"/>
        <v>249.55140304801611</v>
      </c>
      <c r="AC90" s="327"/>
      <c r="AD90" s="321">
        <f t="shared" si="10"/>
        <v>60934446.022164211</v>
      </c>
      <c r="AF90" s="336"/>
      <c r="AG90" s="348">
        <f t="shared" si="11"/>
        <v>169.96963084951449</v>
      </c>
    </row>
    <row r="91" spans="2:33" x14ac:dyDescent="0.15">
      <c r="B91" s="383"/>
      <c r="C91" s="260">
        <v>39203</v>
      </c>
      <c r="D91" s="269">
        <v>370.1479664189954</v>
      </c>
      <c r="E91" s="270">
        <f t="shared" si="19"/>
        <v>393.25648663697035</v>
      </c>
      <c r="F91" s="286">
        <f t="shared" si="17"/>
        <v>-1.562534238410211E-3</v>
      </c>
      <c r="H91" s="347"/>
      <c r="I91" s="348">
        <f t="shared" si="18"/>
        <v>37.520462091806316</v>
      </c>
      <c r="K91" s="307"/>
      <c r="L91" s="308">
        <f t="shared" si="4"/>
        <v>45.357855042428191</v>
      </c>
      <c r="N91" s="336"/>
      <c r="O91" s="348">
        <f t="shared" si="5"/>
        <v>57.97738606461602</v>
      </c>
      <c r="Q91" s="327"/>
      <c r="R91" s="321">
        <f t="shared" si="6"/>
        <v>9346906.2307879217</v>
      </c>
      <c r="T91" s="376"/>
      <c r="U91" s="365">
        <f t="shared" si="7"/>
        <v>11291159.335641738</v>
      </c>
      <c r="W91" s="327"/>
      <c r="X91" s="321">
        <f t="shared" si="8"/>
        <v>14443023.064628361</v>
      </c>
      <c r="Z91" s="336"/>
      <c r="AA91" s="348">
        <f t="shared" si="9"/>
        <v>249.8546381330776</v>
      </c>
      <c r="AC91" s="327"/>
      <c r="AD91" s="321">
        <f t="shared" si="10"/>
        <v>61008488.73118937</v>
      </c>
      <c r="AF91" s="336"/>
      <c r="AG91" s="348">
        <f t="shared" si="11"/>
        <v>170.17616447280412</v>
      </c>
    </row>
    <row r="92" spans="2:33" x14ac:dyDescent="0.15">
      <c r="B92" s="383"/>
      <c r="C92" s="260">
        <v>39234</v>
      </c>
      <c r="D92" s="269">
        <v>371.32288112593784</v>
      </c>
      <c r="E92" s="270">
        <f>AVERAGE(D80:D91)</f>
        <v>390.84844031906897</v>
      </c>
      <c r="F92" s="286">
        <f t="shared" ref="F92:F97" si="20">(E92-E91)/E91</f>
        <v>-6.1233479922845804E-3</v>
      </c>
      <c r="H92" s="347"/>
      <c r="I92" s="348">
        <f t="shared" si="18"/>
        <v>37.461835085146895</v>
      </c>
      <c r="K92" s="307"/>
      <c r="L92" s="308">
        <f t="shared" si="4"/>
        <v>45.286981840943547</v>
      </c>
      <c r="N92" s="336"/>
      <c r="O92" s="348">
        <f t="shared" si="5"/>
        <v>57.886794413836526</v>
      </c>
      <c r="Q92" s="327"/>
      <c r="R92" s="321">
        <f t="shared" si="6"/>
        <v>9332301.3697791062</v>
      </c>
      <c r="T92" s="376"/>
      <c r="U92" s="365">
        <f t="shared" si="7"/>
        <v>11273516.512588453</v>
      </c>
      <c r="W92" s="327"/>
      <c r="X92" s="321">
        <f t="shared" si="8"/>
        <v>14420455.34658373</v>
      </c>
      <c r="Z92" s="336"/>
      <c r="AA92" s="348">
        <f t="shared" si="9"/>
        <v>249.46423170636908</v>
      </c>
      <c r="AC92" s="327"/>
      <c r="AD92" s="321">
        <f t="shared" si="10"/>
        <v>60913160.87871322</v>
      </c>
      <c r="AF92" s="336"/>
      <c r="AG92" s="348">
        <f t="shared" si="11"/>
        <v>169.91025838925404</v>
      </c>
    </row>
    <row r="93" spans="2:33" x14ac:dyDescent="0.15">
      <c r="B93" s="383"/>
      <c r="C93" s="260">
        <v>39264</v>
      </c>
      <c r="D93" s="269">
        <v>371.53450562600375</v>
      </c>
      <c r="E93" s="270">
        <f t="shared" si="19"/>
        <v>387.69141640141623</v>
      </c>
      <c r="F93" s="286">
        <f t="shared" si="20"/>
        <v>-8.0773609204516754E-3</v>
      </c>
      <c r="H93" s="347"/>
      <c r="I93" s="348">
        <f t="shared" si="18"/>
        <v>37.232443232490965</v>
      </c>
      <c r="K93" s="307"/>
      <c r="L93" s="308">
        <f>L92*(1+F92)</f>
        <v>45.009673891611179</v>
      </c>
      <c r="N93" s="336"/>
      <c r="O93" s="348">
        <f>O92*(1+F92)</f>
        <v>57.532333427482776</v>
      </c>
      <c r="Q93" s="327"/>
      <c r="R93" s="321">
        <f>R92*(1+F92)</f>
        <v>9275156.4409230743</v>
      </c>
      <c r="T93" s="376"/>
      <c r="U93" s="365">
        <f>U92*(1+F92)</f>
        <v>11204484.847885108</v>
      </c>
      <c r="W93" s="327"/>
      <c r="X93" s="321">
        <f>X92*(1+F92)</f>
        <v>14332153.880289398</v>
      </c>
      <c r="Z93" s="336"/>
      <c r="AA93" s="348">
        <f>AA92*(1+F92)</f>
        <v>247.93667540400307</v>
      </c>
      <c r="AC93" s="327"/>
      <c r="AD93" s="321">
        <f>AD92*(1+F92)</f>
        <v>60540168.397342846</v>
      </c>
      <c r="AF93" s="336"/>
      <c r="AG93" s="348">
        <f t="shared" si="11"/>
        <v>168.86983874967765</v>
      </c>
    </row>
    <row r="94" spans="2:33" x14ac:dyDescent="0.15">
      <c r="B94" s="383"/>
      <c r="C94" s="260">
        <v>39295</v>
      </c>
      <c r="D94" s="269">
        <v>385.80027288040333</v>
      </c>
      <c r="E94" s="270">
        <f t="shared" si="19"/>
        <v>385.5571753264058</v>
      </c>
      <c r="F94" s="286">
        <f t="shared" si="20"/>
        <v>-5.5049995556276134E-3</v>
      </c>
      <c r="H94" s="347"/>
      <c r="I94" s="348">
        <f t="shared" si="18"/>
        <v>36.931703350551906</v>
      </c>
      <c r="K94" s="307"/>
      <c r="L94" s="308">
        <f>L93*(1+F93)</f>
        <v>44.646114510676803</v>
      </c>
      <c r="N94" s="336"/>
      <c r="O94" s="348">
        <f>O93*(1+F93)</f>
        <v>57.067624005793235</v>
      </c>
      <c r="Q94" s="327"/>
      <c r="R94" s="321">
        <f>R93*(1+F93)</f>
        <v>9200237.6547560878</v>
      </c>
      <c r="T94" s="376"/>
      <c r="U94" s="365">
        <f>U93*(1+F93)</f>
        <v>11113982.179841008</v>
      </c>
      <c r="W94" s="327"/>
      <c r="X94" s="321">
        <f>X93*(1+F93)</f>
        <v>14216387.900630848</v>
      </c>
      <c r="Z94" s="336"/>
      <c r="AA94" s="348">
        <f>AA93*(1+F93)</f>
        <v>245.93400139134806</v>
      </c>
      <c r="AC94" s="327"/>
      <c r="AD94" s="321">
        <f>AD93*(1+F93)</f>
        <v>60051163.607012585</v>
      </c>
      <c r="AF94" s="336"/>
      <c r="AG94" s="348">
        <f t="shared" si="11"/>
        <v>167.50581611351805</v>
      </c>
    </row>
    <row r="95" spans="2:33" x14ac:dyDescent="0.15">
      <c r="B95" s="383"/>
      <c r="C95" s="260">
        <v>39326</v>
      </c>
      <c r="D95" s="269">
        <v>376.65009460431611</v>
      </c>
      <c r="E95" s="270">
        <f t="shared" si="19"/>
        <v>384.76451296830857</v>
      </c>
      <c r="F95" s="286">
        <f t="shared" si="20"/>
        <v>-2.0558879689534454E-3</v>
      </c>
      <c r="H95" s="347"/>
      <c r="I95" s="348">
        <f t="shared" si="18"/>
        <v>36.728394340018546</v>
      </c>
      <c r="K95" s="307"/>
      <c r="L95" s="308">
        <f>L94*(1+F94)</f>
        <v>44.400337670135023</v>
      </c>
      <c r="N95" s="336"/>
      <c r="O95" s="348">
        <f>O94*(1+F94)</f>
        <v>56.753466761000617</v>
      </c>
      <c r="Q95" s="327"/>
      <c r="R95" s="321">
        <f>R94*(1+F94)</f>
        <v>9149590.3505549859</v>
      </c>
      <c r="T95" s="376"/>
      <c r="U95" s="365">
        <f>U94*(1+F94)</f>
        <v>11052799.71287973</v>
      </c>
      <c r="W95" s="327"/>
      <c r="X95" s="321">
        <f>X94*(1+F94)</f>
        <v>14138126.691555245</v>
      </c>
      <c r="Z95" s="336"/>
      <c r="AA95" s="348">
        <f>AA94*(1+F94)</f>
        <v>244.58013482297497</v>
      </c>
      <c r="AC95" s="327"/>
      <c r="AD95" s="321">
        <f>AD94*(1+F94)</f>
        <v>59720581.978041053</v>
      </c>
      <c r="AF95" s="336"/>
      <c r="AG95" s="348">
        <f t="shared" si="11"/>
        <v>166.58369667024809</v>
      </c>
    </row>
    <row r="96" spans="2:33" x14ac:dyDescent="0.15">
      <c r="B96" s="383"/>
      <c r="C96" s="260">
        <v>39356</v>
      </c>
      <c r="D96" s="269">
        <v>375.09855539673856</v>
      </c>
      <c r="E96" s="270">
        <f t="shared" si="19"/>
        <v>383.19711720152259</v>
      </c>
      <c r="F96" s="286">
        <f t="shared" si="20"/>
        <v>-4.0736495023777778E-3</v>
      </c>
      <c r="H96" s="347"/>
      <c r="I96" s="348">
        <f t="shared" si="18"/>
        <v>36.652884875975928</v>
      </c>
      <c r="K96" s="307"/>
      <c r="L96" s="308">
        <f>L95*(1+F95)</f>
        <v>44.309055550101526</v>
      </c>
      <c r="N96" s="336"/>
      <c r="O96" s="348">
        <f>O95*(1+F95)</f>
        <v>56.63678799149028</v>
      </c>
      <c r="Q96" s="327"/>
      <c r="R96" s="321">
        <f>R95*(1+F95)</f>
        <v>9130779.8178324271</v>
      </c>
      <c r="T96" s="376"/>
      <c r="U96" s="365">
        <f>U95*(1+F95)</f>
        <v>11030076.39492677</v>
      </c>
      <c r="W96" s="327"/>
      <c r="X96" s="321">
        <f>X95*(1+F95)</f>
        <v>14109060.286986537</v>
      </c>
      <c r="Z96" s="336"/>
      <c r="AA96" s="348">
        <f>AA95*(1+F95)</f>
        <v>244.07730546634741</v>
      </c>
      <c r="AC96" s="327"/>
      <c r="AD96" s="321">
        <f>AD95*(1+F95)</f>
        <v>59597803.152053505</v>
      </c>
      <c r="AF96" s="336">
        <v>56.64</v>
      </c>
      <c r="AG96" s="348">
        <f>AG95*(1+F95)</f>
        <v>166.24121925243995</v>
      </c>
    </row>
    <row r="97" spans="2:33" ht="11.25" thickBot="1" x14ac:dyDescent="0.2">
      <c r="B97" s="384"/>
      <c r="C97" s="272">
        <v>39387</v>
      </c>
      <c r="D97" s="273">
        <v>380.34919325794101</v>
      </c>
      <c r="E97" s="274">
        <f t="shared" si="19"/>
        <v>381.93881268763676</v>
      </c>
      <c r="F97" s="287">
        <f t="shared" si="20"/>
        <v>-3.2837003656895798E-3</v>
      </c>
      <c r="H97" s="349"/>
      <c r="I97" s="350">
        <f t="shared" si="18"/>
        <v>36.503573869740201</v>
      </c>
      <c r="K97" s="309"/>
      <c r="L97" s="310">
        <f>L96*(1+F96)</f>
        <v>44.128555988009026</v>
      </c>
      <c r="N97" s="338"/>
      <c r="O97" s="350">
        <f>O96*(1+F96)</f>
        <v>56.406069568272471</v>
      </c>
      <c r="Q97" s="333"/>
      <c r="R97" s="323">
        <f>R96*(1+F96)</f>
        <v>9093584.2211711928</v>
      </c>
      <c r="T97" s="377"/>
      <c r="U97" s="367">
        <f>U96*(1+F96)</f>
        <v>10985143.729709387</v>
      </c>
      <c r="W97" s="333"/>
      <c r="X97" s="323">
        <f>X96*(1+F96)</f>
        <v>14051584.920569437</v>
      </c>
      <c r="Z97" s="338"/>
      <c r="AA97" s="350">
        <f>AA96*(1+F96)</f>
        <v>243.08302007239271</v>
      </c>
      <c r="AC97" s="333"/>
      <c r="AD97" s="323">
        <f>AD96*(1+F96)</f>
        <v>59355022.590900332</v>
      </c>
      <c r="AF97" s="379">
        <f>AF96*(1+F96)</f>
        <v>56.409268492185326</v>
      </c>
      <c r="AG97" s="350">
        <f>AG96*(1+F96)</f>
        <v>165.56401079235758</v>
      </c>
    </row>
    <row r="126" spans="3:26" ht="11.25" thickBot="1" x14ac:dyDescent="0.2"/>
    <row r="127" spans="3:26" x14ac:dyDescent="0.15">
      <c r="W127" s="26"/>
      <c r="Z127" s="26"/>
    </row>
    <row r="128" spans="3:26" x14ac:dyDescent="0.15">
      <c r="C128" s="24" t="s">
        <v>37</v>
      </c>
      <c r="W128" s="27"/>
      <c r="Z128" s="27"/>
    </row>
    <row r="129" spans="3:40" x14ac:dyDescent="0.15">
      <c r="C129" s="24" t="s">
        <v>38</v>
      </c>
      <c r="W129" s="28">
        <v>11.43</v>
      </c>
      <c r="Z129" s="28">
        <v>4444584.91</v>
      </c>
      <c r="AN129" s="25">
        <v>1</v>
      </c>
    </row>
    <row r="130" spans="3:40" x14ac:dyDescent="0.15">
      <c r="W130" s="27">
        <v>11.43</v>
      </c>
      <c r="Z130" s="27">
        <v>4444584.91</v>
      </c>
      <c r="AN130" s="3">
        <v>1</v>
      </c>
    </row>
    <row r="131" spans="3:40" x14ac:dyDescent="0.15">
      <c r="W131" s="27">
        <v>11.43</v>
      </c>
      <c r="Z131" s="27">
        <v>4444584.91</v>
      </c>
      <c r="AN131" s="3">
        <v>1</v>
      </c>
    </row>
    <row r="132" spans="3:40" x14ac:dyDescent="0.15">
      <c r="W132" s="27">
        <v>11.43</v>
      </c>
      <c r="Z132" s="27">
        <v>4444584.91</v>
      </c>
      <c r="AN132" s="3">
        <v>1</v>
      </c>
    </row>
    <row r="133" spans="3:40" x14ac:dyDescent="0.15">
      <c r="W133" s="27">
        <v>11.43</v>
      </c>
      <c r="Z133" s="27">
        <v>4444584.91</v>
      </c>
      <c r="AN133" s="3">
        <v>1</v>
      </c>
    </row>
    <row r="134" spans="3:40" x14ac:dyDescent="0.15">
      <c r="W134" s="27">
        <v>11.43</v>
      </c>
      <c r="Z134" s="27">
        <v>4444584.91</v>
      </c>
      <c r="AN134" s="3">
        <v>1</v>
      </c>
    </row>
    <row r="135" spans="3:40" x14ac:dyDescent="0.15">
      <c r="W135" s="27">
        <v>11.43</v>
      </c>
      <c r="Z135" s="27">
        <v>4444584.91</v>
      </c>
      <c r="AN135" s="3">
        <v>1</v>
      </c>
    </row>
    <row r="136" spans="3:40" x14ac:dyDescent="0.15">
      <c r="W136" s="27">
        <v>11.43</v>
      </c>
      <c r="Z136" s="27">
        <v>4444584.91</v>
      </c>
      <c r="AN136" s="3">
        <v>1</v>
      </c>
    </row>
    <row r="137" spans="3:40" x14ac:dyDescent="0.15">
      <c r="W137" s="27">
        <v>11.43</v>
      </c>
      <c r="Z137" s="27">
        <v>4444584.91</v>
      </c>
      <c r="AN137" s="3">
        <v>1</v>
      </c>
    </row>
    <row r="138" spans="3:40" x14ac:dyDescent="0.15">
      <c r="W138" s="27">
        <v>11.43</v>
      </c>
      <c r="Z138" s="27">
        <v>4444584.91</v>
      </c>
      <c r="AN138" s="3">
        <v>1</v>
      </c>
    </row>
    <row r="139" spans="3:40" ht="11.25" thickBot="1" x14ac:dyDescent="0.2">
      <c r="W139" s="29">
        <v>11.43</v>
      </c>
      <c r="Z139" s="29">
        <v>4444584.91</v>
      </c>
      <c r="AN139" s="3">
        <v>1</v>
      </c>
    </row>
  </sheetData>
  <mergeCells count="27">
    <mergeCell ref="B87:B97"/>
    <mergeCell ref="AF6:AG6"/>
    <mergeCell ref="B39:B50"/>
    <mergeCell ref="K6:L6"/>
    <mergeCell ref="B27:B38"/>
    <mergeCell ref="B51:B62"/>
    <mergeCell ref="Z6:AA6"/>
    <mergeCell ref="AC6:AD6"/>
    <mergeCell ref="B15:B26"/>
    <mergeCell ref="H6:I6"/>
    <mergeCell ref="N6:O6"/>
    <mergeCell ref="B63:B74"/>
    <mergeCell ref="B75:B86"/>
    <mergeCell ref="Q6:R6"/>
    <mergeCell ref="T6:U6"/>
    <mergeCell ref="W6:X6"/>
    <mergeCell ref="Z4:AA4"/>
    <mergeCell ref="B8:B14"/>
    <mergeCell ref="AF4:AG4"/>
    <mergeCell ref="AF2:AG2"/>
    <mergeCell ref="H2:X2"/>
    <mergeCell ref="Z2:AD2"/>
    <mergeCell ref="H4:O4"/>
    <mergeCell ref="Q4:X4"/>
    <mergeCell ref="AC4:AD4"/>
    <mergeCell ref="B2:F2"/>
    <mergeCell ref="B4:F4"/>
  </mergeCells>
  <phoneticPr fontId="4" type="noConversion"/>
  <pageMargins left="0.75" right="0.75" top="1" bottom="1" header="0" footer="0"/>
  <pageSetup orientation="portrait" r:id="rId1"/>
  <headerFooter alignWithMargins="0"/>
  <ignoredErrors>
    <ignoredError sqref="E40:E62 E21:E26 E28:E38 E64:E90" formulaRange="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90"/>
  <sheetViews>
    <sheetView showGridLines="0" showRowColHeaders="0" tabSelected="1" zoomScaleNormal="100" workbookViewId="0">
      <pane xSplit="6" ySplit="7" topLeftCell="S167" activePane="bottomRight" state="frozen"/>
      <selection pane="topRight" activeCell="G1" sqref="G1"/>
      <selection pane="bottomLeft" activeCell="A8" sqref="A8"/>
      <selection pane="bottomRight" activeCell="B2" sqref="B2:F2"/>
    </sheetView>
  </sheetViews>
  <sheetFormatPr baseColWidth="10" defaultColWidth="11.42578125" defaultRowHeight="11.1" customHeight="1" x14ac:dyDescent="0.15"/>
  <cols>
    <col min="1" max="1" width="1.7109375" style="149" customWidth="1"/>
    <col min="2" max="2" width="5.28515625" style="30" bestFit="1" customWidth="1"/>
    <col min="3" max="3" width="15.28515625" style="31" customWidth="1"/>
    <col min="4" max="4" width="9.85546875" style="32" customWidth="1"/>
    <col min="5" max="5" width="9.5703125" style="31" customWidth="1"/>
    <col min="6" max="6" width="9.5703125" style="33" bestFit="1" customWidth="1"/>
    <col min="7" max="7" width="3.7109375" style="149" customWidth="1"/>
    <col min="8" max="9" width="10.7109375" style="31" customWidth="1"/>
    <col min="10" max="10" width="1.7109375" style="149" customWidth="1"/>
    <col min="11" max="11" width="10.85546875" style="31" customWidth="1"/>
    <col min="12" max="12" width="10.7109375" style="31" customWidth="1"/>
    <col min="13" max="13" width="1.7109375" style="149" customWidth="1"/>
    <col min="14" max="14" width="12.7109375" style="31" bestFit="1" customWidth="1"/>
    <col min="15" max="15" width="14.28515625" style="31" bestFit="1" customWidth="1"/>
    <col min="16" max="16" width="1.7109375" style="31" customWidth="1"/>
    <col min="17" max="17" width="11.28515625" style="31" customWidth="1"/>
    <col min="18" max="18" width="13.7109375" style="31" bestFit="1" customWidth="1"/>
    <col min="19" max="19" width="3.7109375" style="149" customWidth="1"/>
    <col min="20" max="21" width="13.7109375" style="31" customWidth="1"/>
    <col min="22" max="22" width="1.5703125" style="149" customWidth="1"/>
    <col min="23" max="23" width="14.28515625" style="31" customWidth="1"/>
    <col min="24" max="24" width="13.7109375" style="31" customWidth="1"/>
    <col min="25" max="25" width="3.7109375" style="149" customWidth="1"/>
    <col min="26" max="27" width="13.28515625" style="149" customWidth="1"/>
    <col min="28" max="28" width="1.7109375" style="149" customWidth="1"/>
    <col min="29" max="30" width="13.7109375" style="149" bestFit="1" customWidth="1"/>
    <col min="31" max="31" width="1.7109375" style="149" customWidth="1"/>
    <col min="32" max="33" width="13.28515625" style="31" customWidth="1"/>
    <col min="34" max="34" width="1.7109375" style="31" customWidth="1"/>
    <col min="35" max="36" width="13.7109375" style="31" bestFit="1" customWidth="1"/>
    <col min="37" max="37" width="3.7109375" style="149" customWidth="1"/>
    <col min="38" max="38" width="10.42578125" style="31" customWidth="1"/>
    <col min="39" max="39" width="10" style="31" bestFit="1" customWidth="1"/>
    <col min="40" max="40" width="3.7109375" style="149" customWidth="1"/>
    <col min="41" max="41" width="11.42578125" style="31" customWidth="1"/>
    <col min="42" max="43" width="19.140625" style="31" customWidth="1"/>
    <col min="44" max="44" width="3.7109375" style="149" customWidth="1"/>
    <col min="45" max="46" width="16.5703125" style="31" customWidth="1"/>
    <col min="47" max="47" width="3.7109375" style="149" customWidth="1"/>
    <col min="48" max="49" width="12.7109375" style="149" customWidth="1"/>
    <col min="50" max="50" width="1.7109375" style="149" customWidth="1"/>
    <col min="51" max="52" width="12.7109375" style="31" customWidth="1"/>
    <col min="53" max="53" width="1.7109375" style="149" customWidth="1"/>
    <col min="54" max="55" width="17.85546875" style="31" customWidth="1"/>
    <col min="56" max="56" width="3.7109375" style="149" customWidth="1"/>
    <col min="57" max="57" width="12.5703125" style="31" bestFit="1" customWidth="1"/>
    <col min="58" max="58" width="11.42578125" style="31"/>
    <col min="59" max="59" width="1.7109375" style="149" customWidth="1"/>
    <col min="60" max="60" width="12.5703125" style="31" bestFit="1" customWidth="1"/>
    <col min="61" max="61" width="11.42578125" style="31"/>
    <col min="62" max="62" width="3.7109375" style="149" customWidth="1"/>
    <col min="63" max="63" width="12.5703125" style="31" customWidth="1"/>
    <col min="64" max="65" width="11.42578125" style="31"/>
    <col min="66" max="66" width="1.7109375" style="149" customWidth="1"/>
    <col min="67" max="69" width="11.42578125" style="31"/>
    <col min="70" max="78" width="11.42578125" style="149"/>
    <col min="79" max="16384" width="11.42578125" style="31"/>
  </cols>
  <sheetData>
    <row r="1" spans="2:69" s="149" customFormat="1" ht="11.1" customHeight="1" thickBot="1" x14ac:dyDescent="0.2">
      <c r="B1" s="30"/>
      <c r="C1" s="31"/>
      <c r="D1" s="32"/>
      <c r="E1" s="31"/>
      <c r="F1" s="33"/>
      <c r="H1" s="31"/>
      <c r="I1" s="31"/>
      <c r="K1" s="31"/>
      <c r="L1" s="31"/>
      <c r="N1" s="31"/>
      <c r="O1" s="31"/>
      <c r="P1" s="31"/>
      <c r="Q1" s="31"/>
      <c r="R1" s="31"/>
      <c r="T1" s="31"/>
      <c r="U1" s="31"/>
      <c r="W1" s="31"/>
      <c r="X1" s="31"/>
      <c r="AF1" s="31"/>
      <c r="AG1" s="31"/>
      <c r="AH1" s="31"/>
      <c r="AI1" s="31"/>
      <c r="AJ1" s="31"/>
      <c r="AL1" s="31"/>
      <c r="AM1" s="31"/>
      <c r="AO1" s="31"/>
      <c r="AP1" s="31"/>
      <c r="AQ1" s="31"/>
      <c r="AS1" s="31"/>
      <c r="AT1" s="31"/>
      <c r="AY1" s="31"/>
      <c r="AZ1" s="31"/>
      <c r="BB1" s="31"/>
      <c r="BC1" s="31"/>
      <c r="BE1" s="31"/>
      <c r="BF1" s="31"/>
      <c r="BH1" s="31"/>
      <c r="BI1" s="31"/>
      <c r="BK1" s="31"/>
      <c r="BL1" s="31"/>
      <c r="BM1" s="31"/>
      <c r="BO1" s="31"/>
      <c r="BP1" s="31"/>
      <c r="BQ1" s="31"/>
    </row>
    <row r="2" spans="2:69" s="149" customFormat="1" ht="25.5" customHeight="1" thickBot="1" x14ac:dyDescent="0.2">
      <c r="B2" s="452" t="s">
        <v>71</v>
      </c>
      <c r="C2" s="452"/>
      <c r="D2" s="452"/>
      <c r="E2" s="452"/>
      <c r="F2" s="452"/>
      <c r="H2" s="412" t="s">
        <v>60</v>
      </c>
      <c r="I2" s="413"/>
      <c r="J2" s="413"/>
      <c r="K2" s="413"/>
      <c r="L2" s="413"/>
      <c r="M2" s="413"/>
      <c r="N2" s="413"/>
      <c r="O2" s="413"/>
      <c r="P2" s="413"/>
      <c r="Q2" s="413"/>
      <c r="R2" s="414"/>
      <c r="S2" s="208"/>
      <c r="T2" s="412" t="s">
        <v>61</v>
      </c>
      <c r="U2" s="413"/>
      <c r="V2" s="413"/>
      <c r="W2" s="413"/>
      <c r="X2" s="414"/>
      <c r="Z2" s="412" t="s">
        <v>62</v>
      </c>
      <c r="AA2" s="413"/>
      <c r="AB2" s="413"/>
      <c r="AC2" s="413"/>
      <c r="AD2" s="413"/>
      <c r="AE2" s="413"/>
      <c r="AF2" s="413"/>
      <c r="AG2" s="413"/>
      <c r="AH2" s="413"/>
      <c r="AI2" s="413"/>
      <c r="AJ2" s="414"/>
      <c r="AL2" s="385" t="s">
        <v>18</v>
      </c>
      <c r="AM2" s="386"/>
      <c r="AO2" s="409" t="s">
        <v>63</v>
      </c>
      <c r="AP2" s="410"/>
      <c r="AQ2" s="411"/>
      <c r="AS2" s="412" t="s">
        <v>64</v>
      </c>
      <c r="AT2" s="414"/>
      <c r="AV2" s="409" t="s">
        <v>59</v>
      </c>
      <c r="AW2" s="410"/>
      <c r="AX2" s="410"/>
      <c r="AY2" s="410"/>
      <c r="AZ2" s="410"/>
      <c r="BA2" s="410"/>
      <c r="BB2" s="410"/>
      <c r="BC2" s="411"/>
      <c r="BE2" s="409" t="s">
        <v>58</v>
      </c>
      <c r="BF2" s="410"/>
      <c r="BG2" s="410"/>
      <c r="BH2" s="410"/>
      <c r="BI2" s="411"/>
      <c r="BK2" s="409" t="s">
        <v>57</v>
      </c>
      <c r="BL2" s="410"/>
      <c r="BM2" s="410"/>
      <c r="BN2" s="410"/>
      <c r="BO2" s="410"/>
      <c r="BP2" s="410"/>
      <c r="BQ2" s="411"/>
    </row>
    <row r="3" spans="2:69" s="149" customFormat="1" ht="5.25" customHeight="1" thickBot="1" x14ac:dyDescent="0.2">
      <c r="B3" s="30"/>
      <c r="C3" s="31"/>
      <c r="D3" s="32"/>
      <c r="E3" s="31"/>
      <c r="F3" s="33"/>
      <c r="H3" s="31"/>
      <c r="I3" s="31"/>
      <c r="K3" s="31"/>
      <c r="L3" s="31"/>
      <c r="N3" s="31"/>
      <c r="O3" s="31"/>
      <c r="P3" s="31"/>
      <c r="Q3" s="31"/>
      <c r="R3" s="31"/>
      <c r="T3" s="31"/>
      <c r="U3" s="31"/>
      <c r="W3" s="31"/>
      <c r="X3" s="31"/>
      <c r="AF3" s="31"/>
      <c r="AG3" s="31"/>
      <c r="AH3" s="31"/>
      <c r="AI3" s="31"/>
      <c r="AJ3" s="31"/>
      <c r="AL3" s="31"/>
      <c r="AM3" s="31"/>
      <c r="AO3" s="31"/>
      <c r="AP3" s="31"/>
      <c r="AQ3" s="31"/>
      <c r="AS3" s="31"/>
      <c r="AT3" s="31"/>
      <c r="AY3" s="31"/>
      <c r="AZ3" s="31"/>
      <c r="BB3" s="31"/>
      <c r="BC3" s="31"/>
      <c r="BE3" s="31"/>
      <c r="BF3" s="31"/>
      <c r="BH3" s="31"/>
      <c r="BI3" s="31"/>
      <c r="BK3" s="31"/>
      <c r="BL3" s="31"/>
      <c r="BM3" s="31"/>
      <c r="BO3" s="31"/>
      <c r="BP3" s="31"/>
      <c r="BQ3" s="31"/>
    </row>
    <row r="4" spans="2:69" s="149" customFormat="1" ht="57.75" customHeight="1" thickBot="1" x14ac:dyDescent="0.2">
      <c r="B4" s="448" t="s">
        <v>69</v>
      </c>
      <c r="C4" s="449"/>
      <c r="D4" s="449"/>
      <c r="E4" s="449"/>
      <c r="F4" s="449"/>
      <c r="H4" s="415" t="s">
        <v>16</v>
      </c>
      <c r="I4" s="416"/>
      <c r="J4" s="416"/>
      <c r="K4" s="416"/>
      <c r="L4" s="417"/>
      <c r="M4" s="207"/>
      <c r="N4" s="415" t="s">
        <v>19</v>
      </c>
      <c r="O4" s="416"/>
      <c r="P4" s="416"/>
      <c r="Q4" s="416"/>
      <c r="R4" s="417"/>
      <c r="T4" s="435" t="s">
        <v>14</v>
      </c>
      <c r="U4" s="436"/>
      <c r="V4" s="263"/>
      <c r="W4" s="435" t="s">
        <v>15</v>
      </c>
      <c r="X4" s="436"/>
      <c r="Y4" s="264"/>
      <c r="Z4" s="435" t="s">
        <v>65</v>
      </c>
      <c r="AA4" s="436"/>
      <c r="AB4" s="264"/>
      <c r="AC4" s="435" t="s">
        <v>66</v>
      </c>
      <c r="AD4" s="436"/>
      <c r="AE4" s="264"/>
      <c r="AF4" s="435" t="s">
        <v>14</v>
      </c>
      <c r="AG4" s="436"/>
      <c r="AH4" s="263"/>
      <c r="AI4" s="435" t="s">
        <v>15</v>
      </c>
      <c r="AJ4" s="436"/>
      <c r="AK4" s="264"/>
      <c r="AL4" s="435" t="s">
        <v>14</v>
      </c>
      <c r="AM4" s="436"/>
      <c r="AN4" s="264"/>
      <c r="AO4" s="435" t="s">
        <v>14</v>
      </c>
      <c r="AP4" s="437"/>
      <c r="AQ4" s="436"/>
      <c r="AS4" s="428" t="s">
        <v>36</v>
      </c>
      <c r="AT4" s="406"/>
      <c r="AV4" s="380" t="s">
        <v>67</v>
      </c>
      <c r="AW4" s="406"/>
      <c r="AY4" s="380" t="s">
        <v>22</v>
      </c>
      <c r="AZ4" s="406"/>
      <c r="BB4" s="380" t="s">
        <v>55</v>
      </c>
      <c r="BC4" s="406"/>
      <c r="BE4" s="421" t="s">
        <v>20</v>
      </c>
      <c r="BF4" s="423"/>
      <c r="BH4" s="421" t="s">
        <v>21</v>
      </c>
      <c r="BI4" s="423"/>
      <c r="BK4" s="421" t="s">
        <v>41</v>
      </c>
      <c r="BL4" s="422"/>
      <c r="BM4" s="423"/>
      <c r="BO4" s="421" t="s">
        <v>35</v>
      </c>
      <c r="BP4" s="422"/>
      <c r="BQ4" s="423"/>
    </row>
    <row r="5" spans="2:69" s="149" customFormat="1" ht="5.25" customHeight="1" thickBot="1" x14ac:dyDescent="0.2">
      <c r="B5" s="30"/>
      <c r="C5" s="31"/>
      <c r="D5" s="32"/>
      <c r="E5" s="31"/>
      <c r="F5" s="33"/>
      <c r="H5" s="31"/>
      <c r="I5" s="31"/>
      <c r="K5" s="31"/>
      <c r="L5" s="31"/>
      <c r="N5" s="31"/>
      <c r="O5" s="31"/>
      <c r="P5" s="31"/>
      <c r="Q5" s="31"/>
      <c r="R5" s="31"/>
      <c r="T5" s="31"/>
      <c r="U5" s="31"/>
      <c r="W5" s="31"/>
      <c r="X5" s="31"/>
      <c r="Z5" s="31"/>
      <c r="AA5" s="31"/>
      <c r="AC5" s="31"/>
      <c r="AD5" s="31"/>
      <c r="AF5" s="31"/>
      <c r="AG5" s="31"/>
      <c r="AH5" s="31"/>
      <c r="AI5" s="31"/>
      <c r="AJ5" s="31"/>
      <c r="AL5" s="31"/>
      <c r="AM5" s="31"/>
      <c r="AO5" s="31"/>
      <c r="AP5" s="31"/>
      <c r="AQ5" s="31"/>
      <c r="AS5" s="31"/>
      <c r="AT5" s="31"/>
      <c r="AY5" s="31"/>
      <c r="AZ5" s="31"/>
      <c r="BB5" s="31"/>
      <c r="BC5" s="31"/>
      <c r="BE5" s="31"/>
      <c r="BF5" s="31"/>
      <c r="BH5" s="31"/>
      <c r="BI5" s="31"/>
      <c r="BK5" s="31"/>
      <c r="BL5" s="31"/>
      <c r="BM5" s="31"/>
      <c r="BO5" s="31"/>
      <c r="BP5" s="31"/>
      <c r="BQ5" s="31"/>
    </row>
    <row r="6" spans="2:69" s="216" customFormat="1" ht="27" customHeight="1" thickBot="1" x14ac:dyDescent="0.25">
      <c r="B6" s="213"/>
      <c r="C6" s="214"/>
      <c r="D6" s="214"/>
      <c r="E6" s="214"/>
      <c r="F6" s="215"/>
      <c r="H6" s="407" t="s">
        <v>50</v>
      </c>
      <c r="I6" s="408"/>
      <c r="K6" s="407" t="s">
        <v>51</v>
      </c>
      <c r="L6" s="408"/>
      <c r="N6" s="407" t="s">
        <v>50</v>
      </c>
      <c r="O6" s="408"/>
      <c r="P6" s="214"/>
      <c r="Q6" s="407" t="s">
        <v>51</v>
      </c>
      <c r="R6" s="408"/>
      <c r="T6" s="407" t="s">
        <v>53</v>
      </c>
      <c r="U6" s="408"/>
      <c r="V6" s="214"/>
      <c r="W6" s="407" t="s">
        <v>53</v>
      </c>
      <c r="X6" s="408"/>
      <c r="Z6" s="407" t="s">
        <v>44</v>
      </c>
      <c r="AA6" s="408"/>
      <c r="AC6" s="407" t="s">
        <v>44</v>
      </c>
      <c r="AD6" s="408"/>
      <c r="AF6" s="407" t="s">
        <v>44</v>
      </c>
      <c r="AG6" s="408"/>
      <c r="AH6" s="214"/>
      <c r="AI6" s="424" t="s">
        <v>44</v>
      </c>
      <c r="AJ6" s="408"/>
      <c r="AL6" s="407" t="s">
        <v>54</v>
      </c>
      <c r="AM6" s="408"/>
      <c r="AO6" s="407" t="s">
        <v>52</v>
      </c>
      <c r="AP6" s="425"/>
      <c r="AQ6" s="408"/>
      <c r="AS6" s="407" t="s">
        <v>49</v>
      </c>
      <c r="AT6" s="408"/>
      <c r="AV6" s="424" t="s">
        <v>45</v>
      </c>
      <c r="AW6" s="408"/>
      <c r="AY6" s="424" t="s">
        <v>45</v>
      </c>
      <c r="AZ6" s="408"/>
      <c r="BB6" s="407" t="s">
        <v>56</v>
      </c>
      <c r="BC6" s="408"/>
      <c r="BE6" s="407" t="s">
        <v>48</v>
      </c>
      <c r="BF6" s="408"/>
      <c r="BH6" s="407" t="s">
        <v>48</v>
      </c>
      <c r="BI6" s="408"/>
      <c r="BK6" s="424" t="s">
        <v>43</v>
      </c>
      <c r="BL6" s="425"/>
      <c r="BM6" s="408"/>
      <c r="BO6" s="424" t="s">
        <v>42</v>
      </c>
      <c r="BP6" s="425"/>
      <c r="BQ6" s="408"/>
    </row>
    <row r="7" spans="2:69" s="149" customFormat="1" ht="63.75" customHeight="1" thickBot="1" x14ac:dyDescent="0.2">
      <c r="B7" s="290" t="s">
        <v>0</v>
      </c>
      <c r="C7" s="20" t="s">
        <v>1</v>
      </c>
      <c r="D7" s="20" t="s">
        <v>2</v>
      </c>
      <c r="E7" s="20" t="s">
        <v>3</v>
      </c>
      <c r="F7" s="291" t="s">
        <v>4</v>
      </c>
      <c r="G7" s="292"/>
      <c r="H7" s="293" t="s">
        <v>6</v>
      </c>
      <c r="I7" s="259" t="s">
        <v>5</v>
      </c>
      <c r="J7" s="292"/>
      <c r="K7" s="293" t="s">
        <v>6</v>
      </c>
      <c r="L7" s="259" t="s">
        <v>5</v>
      </c>
      <c r="M7" s="292"/>
      <c r="N7" s="293" t="s">
        <v>7</v>
      </c>
      <c r="O7" s="259" t="s">
        <v>8</v>
      </c>
      <c r="P7" s="3"/>
      <c r="Q7" s="293" t="s">
        <v>7</v>
      </c>
      <c r="R7" s="259" t="s">
        <v>8</v>
      </c>
      <c r="S7" s="292"/>
      <c r="T7" s="293" t="s">
        <v>6</v>
      </c>
      <c r="U7" s="259" t="s">
        <v>5</v>
      </c>
      <c r="V7" s="3"/>
      <c r="W7" s="293" t="s">
        <v>7</v>
      </c>
      <c r="X7" s="259" t="s">
        <v>8</v>
      </c>
      <c r="Y7" s="292"/>
      <c r="Z7" s="293" t="s">
        <v>6</v>
      </c>
      <c r="AA7" s="259" t="s">
        <v>5</v>
      </c>
      <c r="AB7" s="292"/>
      <c r="AC7" s="293" t="s">
        <v>7</v>
      </c>
      <c r="AD7" s="259" t="s">
        <v>8</v>
      </c>
      <c r="AE7" s="292"/>
      <c r="AF7" s="293" t="s">
        <v>6</v>
      </c>
      <c r="AG7" s="259" t="s">
        <v>5</v>
      </c>
      <c r="AH7" s="3"/>
      <c r="AI7" s="293" t="s">
        <v>7</v>
      </c>
      <c r="AJ7" s="259" t="s">
        <v>8</v>
      </c>
      <c r="AK7" s="292"/>
      <c r="AL7" s="293" t="s">
        <v>27</v>
      </c>
      <c r="AM7" s="259" t="s">
        <v>28</v>
      </c>
      <c r="AN7" s="292"/>
      <c r="AO7" s="293" t="s">
        <v>29</v>
      </c>
      <c r="AP7" s="34" t="s">
        <v>31</v>
      </c>
      <c r="AQ7" s="35" t="s">
        <v>30</v>
      </c>
      <c r="AS7" s="31"/>
      <c r="AT7" s="31"/>
      <c r="AV7" s="293" t="s">
        <v>23</v>
      </c>
      <c r="AW7" s="259" t="s">
        <v>24</v>
      </c>
      <c r="AX7" s="292"/>
      <c r="AY7" s="293" t="s">
        <v>23</v>
      </c>
      <c r="AZ7" s="259" t="s">
        <v>24</v>
      </c>
      <c r="BA7" s="292"/>
      <c r="BB7" s="293" t="s">
        <v>23</v>
      </c>
      <c r="BC7" s="259" t="s">
        <v>24</v>
      </c>
      <c r="BD7" s="292"/>
      <c r="BE7" s="293" t="s">
        <v>25</v>
      </c>
      <c r="BF7" s="259" t="s">
        <v>26</v>
      </c>
      <c r="BG7" s="292"/>
      <c r="BH7" s="293" t="s">
        <v>25</v>
      </c>
      <c r="BI7" s="259" t="s">
        <v>26</v>
      </c>
      <c r="BJ7" s="292"/>
      <c r="BK7" s="293" t="s">
        <v>32</v>
      </c>
      <c r="BL7" s="20" t="s">
        <v>33</v>
      </c>
      <c r="BM7" s="259" t="s">
        <v>34</v>
      </c>
      <c r="BN7" s="292"/>
      <c r="BO7" s="293" t="s">
        <v>32</v>
      </c>
      <c r="BP7" s="20" t="s">
        <v>33</v>
      </c>
      <c r="BQ7" s="259" t="s">
        <v>34</v>
      </c>
    </row>
    <row r="8" spans="2:69" s="149" customFormat="1" ht="11.1" customHeight="1" thickBot="1" x14ac:dyDescent="0.25">
      <c r="B8" s="36">
        <v>2006</v>
      </c>
      <c r="C8" s="91">
        <v>39052</v>
      </c>
      <c r="D8" s="92">
        <f>'Antes de Res. 1763 de 2007'!D86</f>
        <v>385.05877628624228</v>
      </c>
      <c r="E8" s="92">
        <f>'Antes de Res. 1763 de 2007'!E86</f>
        <v>390.44158801743339</v>
      </c>
      <c r="F8" s="93">
        <f>'Antes de Res. 1763 de 2007'!F86</f>
        <v>3.3174289258647224E-3</v>
      </c>
      <c r="H8" s="60"/>
      <c r="I8" s="61"/>
      <c r="K8" s="38"/>
      <c r="L8" s="39"/>
      <c r="N8" s="60"/>
      <c r="O8" s="61"/>
      <c r="P8" s="31"/>
      <c r="Q8" s="38"/>
      <c r="R8" s="39"/>
      <c r="Z8" s="232"/>
      <c r="AA8" s="232"/>
      <c r="AB8" s="232"/>
      <c r="AC8" s="232"/>
      <c r="AD8" s="232"/>
      <c r="AF8" s="60"/>
      <c r="AG8" s="61"/>
      <c r="AH8" s="31"/>
      <c r="AI8" s="38"/>
      <c r="AJ8" s="39"/>
      <c r="AL8" s="131"/>
      <c r="AM8" s="132">
        <f>'Antes de Res. 1763 de 2007'!AG86</f>
        <v>171.56762668257622</v>
      </c>
      <c r="AO8" s="150"/>
      <c r="AP8" s="151"/>
      <c r="AQ8" s="253"/>
      <c r="AS8" s="31"/>
      <c r="AT8" s="31"/>
      <c r="AY8" s="31"/>
      <c r="AZ8" s="31"/>
      <c r="BB8" s="31"/>
      <c r="BC8" s="31"/>
      <c r="BE8" s="31"/>
      <c r="BF8" s="31"/>
      <c r="BH8" s="31"/>
      <c r="BI8" s="31"/>
      <c r="BK8" s="31"/>
      <c r="BL8" s="31"/>
      <c r="BM8" s="31"/>
      <c r="BO8" s="31"/>
      <c r="BP8" s="31"/>
      <c r="BQ8" s="31"/>
    </row>
    <row r="9" spans="2:69" s="149" customFormat="1" ht="11.1" customHeight="1" x14ac:dyDescent="0.2">
      <c r="B9" s="418">
        <v>2007</v>
      </c>
      <c r="C9" s="94">
        <v>39083</v>
      </c>
      <c r="D9" s="95">
        <f>'Antes de Res. 1763 de 2007'!D87</f>
        <v>393.58681875853802</v>
      </c>
      <c r="E9" s="262">
        <f>'Antes de Res. 1763 de 2007'!E87</f>
        <v>391.37809068753882</v>
      </c>
      <c r="F9" s="96">
        <f>'Antes de Res. 1763 de 2007'!F87</f>
        <v>2.3985730486876591E-3</v>
      </c>
      <c r="H9" s="62"/>
      <c r="I9" s="63"/>
      <c r="K9" s="40"/>
      <c r="L9" s="41"/>
      <c r="N9" s="62"/>
      <c r="O9" s="63"/>
      <c r="P9" s="31"/>
      <c r="Q9" s="40"/>
      <c r="R9" s="41"/>
      <c r="Z9" s="232"/>
      <c r="AA9" s="232"/>
      <c r="AB9" s="232"/>
      <c r="AC9" s="232"/>
      <c r="AD9" s="232"/>
      <c r="AF9" s="62"/>
      <c r="AG9" s="63"/>
      <c r="AH9" s="31"/>
      <c r="AI9" s="40"/>
      <c r="AJ9" s="41"/>
      <c r="AL9" s="62"/>
      <c r="AM9" s="68">
        <f>'Antes de Res. 1763 de 2007'!AG87</f>
        <v>168.69405428827346</v>
      </c>
      <c r="AO9" s="40"/>
      <c r="AP9" s="152"/>
      <c r="AQ9" s="88"/>
      <c r="AS9" s="31"/>
      <c r="AT9" s="31"/>
      <c r="AY9" s="31"/>
      <c r="AZ9" s="31"/>
      <c r="BB9" s="31"/>
      <c r="BC9" s="31"/>
      <c r="BE9" s="31"/>
      <c r="BF9" s="31"/>
      <c r="BH9" s="31"/>
      <c r="BI9" s="31"/>
      <c r="BK9" s="31"/>
      <c r="BL9" s="31"/>
      <c r="BM9" s="31"/>
      <c r="BO9" s="31"/>
      <c r="BP9" s="31"/>
      <c r="BQ9" s="31"/>
    </row>
    <row r="10" spans="2:69" s="149" customFormat="1" ht="11.1" customHeight="1" x14ac:dyDescent="0.2">
      <c r="B10" s="419"/>
      <c r="C10" s="97">
        <v>39114</v>
      </c>
      <c r="D10" s="98">
        <f>'Antes de Res. 1763 de 2007'!D88</f>
        <v>391.50905140998225</v>
      </c>
      <c r="E10" s="98">
        <f>'Antes de Res. 1763 de 2007'!E88</f>
        <v>392.43230656772158</v>
      </c>
      <c r="F10" s="99">
        <f>'Antes de Res. 1763 de 2007'!F88</f>
        <v>2.6935996297871773E-3</v>
      </c>
      <c r="H10" s="64"/>
      <c r="I10" s="65"/>
      <c r="K10" s="42"/>
      <c r="L10" s="43"/>
      <c r="N10" s="64"/>
      <c r="O10" s="65"/>
      <c r="P10" s="31"/>
      <c r="Q10" s="42"/>
      <c r="R10" s="43"/>
      <c r="Z10" s="232"/>
      <c r="AA10" s="232"/>
      <c r="AB10" s="232"/>
      <c r="AC10" s="232"/>
      <c r="AD10" s="232"/>
      <c r="AF10" s="64"/>
      <c r="AG10" s="65"/>
      <c r="AH10" s="31"/>
      <c r="AI10" s="42"/>
      <c r="AJ10" s="43"/>
      <c r="AL10" s="64"/>
      <c r="AM10" s="69">
        <f>'Antes de Res. 1763 de 2007'!AG88</f>
        <v>169.09867930036319</v>
      </c>
      <c r="AO10" s="42"/>
      <c r="AP10" s="153"/>
      <c r="AQ10" s="52"/>
      <c r="AS10" s="31"/>
      <c r="AT10" s="31"/>
      <c r="AY10" s="31"/>
      <c r="AZ10" s="31"/>
      <c r="BB10" s="31"/>
      <c r="BC10" s="31"/>
      <c r="BE10" s="31"/>
      <c r="BF10" s="31"/>
      <c r="BH10" s="31"/>
      <c r="BI10" s="31"/>
      <c r="BK10" s="31"/>
      <c r="BL10" s="31"/>
      <c r="BM10" s="31"/>
      <c r="BO10" s="31"/>
      <c r="BP10" s="31"/>
      <c r="BQ10" s="31"/>
    </row>
    <row r="11" spans="2:69" s="149" customFormat="1" ht="11.1" customHeight="1" x14ac:dyDescent="0.2">
      <c r="B11" s="419"/>
      <c r="C11" s="97">
        <v>39142</v>
      </c>
      <c r="D11" s="98">
        <f>'Antes de Res. 1763 de 2007'!D89</f>
        <v>389.59014493476235</v>
      </c>
      <c r="E11" s="98">
        <f>'Antes de Res. 1763 de 2007'!E89</f>
        <v>393.39390391445767</v>
      </c>
      <c r="F11" s="99">
        <f>'Antes de Res. 1763 de 2007'!F89</f>
        <v>2.4503521515503537E-3</v>
      </c>
      <c r="H11" s="64"/>
      <c r="I11" s="65"/>
      <c r="K11" s="42"/>
      <c r="L11" s="43"/>
      <c r="N11" s="64"/>
      <c r="O11" s="65"/>
      <c r="P11" s="31"/>
      <c r="Q11" s="42"/>
      <c r="R11" s="43"/>
      <c r="Z11" s="232"/>
      <c r="AA11" s="232"/>
      <c r="AB11" s="232"/>
      <c r="AC11" s="232"/>
      <c r="AD11" s="232"/>
      <c r="AF11" s="64"/>
      <c r="AG11" s="65"/>
      <c r="AH11" s="31"/>
      <c r="AI11" s="42"/>
      <c r="AJ11" s="43"/>
      <c r="AL11" s="64"/>
      <c r="AM11" s="69">
        <f>'Antes de Res. 1763 de 2007'!AG89</f>
        <v>169.55416344032415</v>
      </c>
      <c r="AO11" s="42"/>
      <c r="AP11" s="153"/>
      <c r="AQ11" s="52"/>
      <c r="AS11" s="31"/>
      <c r="AT11" s="31"/>
      <c r="AY11" s="31"/>
      <c r="AZ11" s="31"/>
      <c r="BB11" s="31"/>
      <c r="BC11" s="31"/>
      <c r="BE11" s="31"/>
      <c r="BF11" s="31"/>
      <c r="BH11" s="31"/>
      <c r="BI11" s="31"/>
      <c r="BK11" s="31"/>
      <c r="BL11" s="31"/>
      <c r="BM11" s="31"/>
      <c r="BO11" s="31"/>
      <c r="BP11" s="31"/>
      <c r="BQ11" s="31"/>
    </row>
    <row r="12" spans="2:69" s="149" customFormat="1" ht="11.1" customHeight="1" x14ac:dyDescent="0.2">
      <c r="B12" s="419"/>
      <c r="C12" s="97">
        <v>39173</v>
      </c>
      <c r="D12" s="98">
        <f>'Antes de Res. 1763 de 2007'!D90</f>
        <v>384.05291260795315</v>
      </c>
      <c r="E12" s="98">
        <f>'Antes de Res. 1763 de 2007'!E90</f>
        <v>393.87192500533973</v>
      </c>
      <c r="F12" s="99">
        <f>'Antes de Res. 1763 de 2007'!F90</f>
        <v>1.2151207380834519E-3</v>
      </c>
      <c r="H12" s="64"/>
      <c r="I12" s="65"/>
      <c r="K12" s="42"/>
      <c r="L12" s="43"/>
      <c r="N12" s="64"/>
      <c r="O12" s="65"/>
      <c r="P12" s="31"/>
      <c r="Q12" s="42"/>
      <c r="R12" s="43"/>
      <c r="Z12" s="232"/>
      <c r="AA12" s="232"/>
      <c r="AB12" s="232"/>
      <c r="AC12" s="232"/>
      <c r="AD12" s="232"/>
      <c r="AF12" s="64"/>
      <c r="AG12" s="65"/>
      <c r="AH12" s="31"/>
      <c r="AI12" s="42"/>
      <c r="AJ12" s="43"/>
      <c r="AL12" s="64"/>
      <c r="AM12" s="69">
        <f>'Antes de Res. 1763 de 2007'!AG90</f>
        <v>169.96963084951449</v>
      </c>
      <c r="AO12" s="42"/>
      <c r="AP12" s="153"/>
      <c r="AQ12" s="52"/>
      <c r="AS12" s="31"/>
      <c r="AT12" s="31"/>
      <c r="AY12" s="31"/>
      <c r="AZ12" s="31"/>
      <c r="BB12" s="31"/>
      <c r="BC12" s="31"/>
      <c r="BE12" s="31"/>
      <c r="BF12" s="31"/>
      <c r="BH12" s="31"/>
      <c r="BI12" s="31"/>
      <c r="BK12" s="31"/>
      <c r="BL12" s="31"/>
      <c r="BM12" s="31"/>
      <c r="BO12" s="31"/>
      <c r="BP12" s="31"/>
      <c r="BQ12" s="31"/>
    </row>
    <row r="13" spans="2:69" s="149" customFormat="1" ht="11.1" customHeight="1" x14ac:dyDescent="0.2">
      <c r="B13" s="419"/>
      <c r="C13" s="97">
        <v>39203</v>
      </c>
      <c r="D13" s="98">
        <f>'Antes de Res. 1763 de 2007'!D91</f>
        <v>370.1479664189954</v>
      </c>
      <c r="E13" s="98">
        <f>'Antes de Res. 1763 de 2007'!E91</f>
        <v>393.25648663697035</v>
      </c>
      <c r="F13" s="99">
        <f>'Antes de Res. 1763 de 2007'!F91</f>
        <v>-1.562534238410211E-3</v>
      </c>
      <c r="H13" s="64"/>
      <c r="I13" s="65"/>
      <c r="K13" s="42"/>
      <c r="L13" s="43"/>
      <c r="N13" s="64"/>
      <c r="O13" s="65"/>
      <c r="P13" s="31"/>
      <c r="Q13" s="42"/>
      <c r="R13" s="43"/>
      <c r="Z13" s="232"/>
      <c r="AA13" s="232"/>
      <c r="AB13" s="232"/>
      <c r="AC13" s="232"/>
      <c r="AD13" s="232"/>
      <c r="AF13" s="64"/>
      <c r="AG13" s="65"/>
      <c r="AH13" s="31"/>
      <c r="AI13" s="42"/>
      <c r="AJ13" s="43"/>
      <c r="AL13" s="64"/>
      <c r="AM13" s="69">
        <f>'Antes de Res. 1763 de 2007'!AG91</f>
        <v>170.17616447280412</v>
      </c>
      <c r="AO13" s="42"/>
      <c r="AP13" s="153"/>
      <c r="AQ13" s="52"/>
      <c r="AS13" s="31"/>
      <c r="AT13" s="31"/>
      <c r="AY13" s="31"/>
      <c r="AZ13" s="31"/>
      <c r="BB13" s="31"/>
      <c r="BC13" s="31"/>
      <c r="BE13" s="31"/>
      <c r="BF13" s="31"/>
      <c r="BH13" s="31"/>
      <c r="BI13" s="31"/>
      <c r="BK13" s="31"/>
      <c r="BL13" s="31"/>
      <c r="BM13" s="31"/>
      <c r="BO13" s="31"/>
      <c r="BP13" s="31"/>
      <c r="BQ13" s="31"/>
    </row>
    <row r="14" spans="2:69" s="149" customFormat="1" ht="11.1" customHeight="1" x14ac:dyDescent="0.2">
      <c r="B14" s="419"/>
      <c r="C14" s="97">
        <v>39234</v>
      </c>
      <c r="D14" s="98">
        <f>'Antes de Res. 1763 de 2007'!D92</f>
        <v>371.32288112593784</v>
      </c>
      <c r="E14" s="98">
        <f>'Antes de Res. 1763 de 2007'!E92</f>
        <v>390.84844031906897</v>
      </c>
      <c r="F14" s="99">
        <f>'Antes de Res. 1763 de 2007'!F92</f>
        <v>-6.1233479922845804E-3</v>
      </c>
      <c r="H14" s="64"/>
      <c r="I14" s="65"/>
      <c r="K14" s="42"/>
      <c r="L14" s="43"/>
      <c r="N14" s="64"/>
      <c r="O14" s="65"/>
      <c r="P14" s="31"/>
      <c r="Q14" s="42"/>
      <c r="R14" s="43"/>
      <c r="Z14" s="232"/>
      <c r="AA14" s="232"/>
      <c r="AB14" s="232"/>
      <c r="AC14" s="232"/>
      <c r="AD14" s="232"/>
      <c r="AF14" s="64"/>
      <c r="AG14" s="65"/>
      <c r="AH14" s="31"/>
      <c r="AI14" s="42"/>
      <c r="AJ14" s="43"/>
      <c r="AL14" s="64"/>
      <c r="AM14" s="69">
        <f>'Antes de Res. 1763 de 2007'!AG92</f>
        <v>169.91025838925404</v>
      </c>
      <c r="AO14" s="42"/>
      <c r="AP14" s="153"/>
      <c r="AQ14" s="52"/>
      <c r="AS14" s="31"/>
      <c r="AT14" s="31"/>
      <c r="AY14" s="31"/>
      <c r="AZ14" s="31"/>
      <c r="BB14" s="31"/>
      <c r="BC14" s="31"/>
      <c r="BE14" s="31"/>
      <c r="BF14" s="31"/>
      <c r="BH14" s="31"/>
      <c r="BI14" s="31"/>
      <c r="BK14" s="31"/>
      <c r="BL14" s="31"/>
      <c r="BM14" s="31"/>
      <c r="BO14" s="31"/>
      <c r="BP14" s="31"/>
      <c r="BQ14" s="31"/>
    </row>
    <row r="15" spans="2:69" s="149" customFormat="1" ht="11.1" customHeight="1" x14ac:dyDescent="0.2">
      <c r="B15" s="419"/>
      <c r="C15" s="97">
        <v>39264</v>
      </c>
      <c r="D15" s="98">
        <f>'Antes de Res. 1763 de 2007'!D93</f>
        <v>371.53450562600375</v>
      </c>
      <c r="E15" s="98">
        <f>'Antes de Res. 1763 de 2007'!E93</f>
        <v>387.69141640141623</v>
      </c>
      <c r="F15" s="99">
        <f>'Antes de Res. 1763 de 2007'!F93</f>
        <v>-8.0773609204516754E-3</v>
      </c>
      <c r="H15" s="64"/>
      <c r="I15" s="65"/>
      <c r="K15" s="42"/>
      <c r="L15" s="43"/>
      <c r="N15" s="64"/>
      <c r="O15" s="65"/>
      <c r="P15" s="31"/>
      <c r="Q15" s="42"/>
      <c r="R15" s="43"/>
      <c r="Z15" s="232"/>
      <c r="AA15" s="232"/>
      <c r="AB15" s="232"/>
      <c r="AC15" s="232"/>
      <c r="AD15" s="232"/>
      <c r="AF15" s="64"/>
      <c r="AG15" s="65"/>
      <c r="AH15" s="31"/>
      <c r="AI15" s="42"/>
      <c r="AJ15" s="43"/>
      <c r="AL15" s="64"/>
      <c r="AM15" s="69">
        <f>'Antes de Res. 1763 de 2007'!AG93</f>
        <v>168.86983874967765</v>
      </c>
      <c r="AO15" s="42"/>
      <c r="AP15" s="153"/>
      <c r="AQ15" s="52"/>
      <c r="AS15" s="31"/>
      <c r="AT15" s="31"/>
      <c r="AY15" s="31"/>
      <c r="AZ15" s="31"/>
      <c r="BB15" s="31"/>
      <c r="BC15" s="31"/>
      <c r="BE15" s="31"/>
      <c r="BF15" s="31"/>
      <c r="BH15" s="31"/>
      <c r="BI15" s="31"/>
      <c r="BK15" s="31"/>
      <c r="BL15" s="31"/>
      <c r="BM15" s="31"/>
      <c r="BO15" s="31"/>
      <c r="BP15" s="31"/>
      <c r="BQ15" s="31"/>
    </row>
    <row r="16" spans="2:69" s="149" customFormat="1" ht="11.1" customHeight="1" x14ac:dyDescent="0.2">
      <c r="B16" s="419"/>
      <c r="C16" s="97">
        <v>39295</v>
      </c>
      <c r="D16" s="98">
        <f>'Antes de Res. 1763 de 2007'!D94</f>
        <v>385.80027288040333</v>
      </c>
      <c r="E16" s="98">
        <f>'Antes de Res. 1763 de 2007'!E94</f>
        <v>385.5571753264058</v>
      </c>
      <c r="F16" s="99">
        <f>'Antes de Res. 1763 de 2007'!F94</f>
        <v>-5.5049995556276134E-3</v>
      </c>
      <c r="H16" s="64"/>
      <c r="I16" s="65"/>
      <c r="K16" s="42"/>
      <c r="L16" s="43"/>
      <c r="N16" s="64"/>
      <c r="O16" s="65"/>
      <c r="P16" s="31"/>
      <c r="Q16" s="42"/>
      <c r="R16" s="43"/>
      <c r="Z16" s="232"/>
      <c r="AA16" s="232"/>
      <c r="AB16" s="232"/>
      <c r="AC16" s="232"/>
      <c r="AD16" s="232"/>
      <c r="AF16" s="64"/>
      <c r="AG16" s="65"/>
      <c r="AH16" s="31"/>
      <c r="AI16" s="42"/>
      <c r="AJ16" s="43"/>
      <c r="AL16" s="64"/>
      <c r="AM16" s="69">
        <f>'Antes de Res. 1763 de 2007'!AG94</f>
        <v>167.50581611351805</v>
      </c>
      <c r="AO16" s="42"/>
      <c r="AP16" s="153"/>
      <c r="AQ16" s="52"/>
      <c r="AS16" s="31"/>
      <c r="AT16" s="31"/>
      <c r="AY16" s="31"/>
      <c r="AZ16" s="31"/>
      <c r="BB16" s="31"/>
      <c r="BC16" s="31"/>
      <c r="BE16" s="31"/>
      <c r="BF16" s="31"/>
      <c r="BH16" s="31"/>
      <c r="BI16" s="31"/>
      <c r="BK16" s="31"/>
      <c r="BL16" s="31"/>
      <c r="BM16" s="31"/>
      <c r="BO16" s="31"/>
      <c r="BP16" s="31"/>
      <c r="BQ16" s="31"/>
    </row>
    <row r="17" spans="2:69" s="149" customFormat="1" ht="11.1" customHeight="1" x14ac:dyDescent="0.2">
      <c r="B17" s="419"/>
      <c r="C17" s="97">
        <v>39326</v>
      </c>
      <c r="D17" s="98">
        <f>'Antes de Res. 1763 de 2007'!D95</f>
        <v>376.65009460431611</v>
      </c>
      <c r="E17" s="98">
        <f>'Antes de Res. 1763 de 2007'!E95</f>
        <v>384.76451296830857</v>
      </c>
      <c r="F17" s="99">
        <f>'Antes de Res. 1763 de 2007'!F95</f>
        <v>-2.0558879689534454E-3</v>
      </c>
      <c r="H17" s="64"/>
      <c r="I17" s="65"/>
      <c r="K17" s="42"/>
      <c r="L17" s="43"/>
      <c r="N17" s="64"/>
      <c r="O17" s="65"/>
      <c r="P17" s="31"/>
      <c r="Q17" s="42"/>
      <c r="R17" s="43"/>
      <c r="Z17" s="232"/>
      <c r="AA17" s="232"/>
      <c r="AB17" s="232"/>
      <c r="AC17" s="232"/>
      <c r="AD17" s="232"/>
      <c r="AF17" s="64"/>
      <c r="AG17" s="65"/>
      <c r="AH17" s="31"/>
      <c r="AI17" s="42"/>
      <c r="AJ17" s="43"/>
      <c r="AL17" s="64"/>
      <c r="AM17" s="147">
        <f>'Antes de Res. 1763 de 2007'!AG95</f>
        <v>166.58369667024809</v>
      </c>
      <c r="AO17" s="42"/>
      <c r="AP17" s="153"/>
      <c r="AQ17" s="52"/>
      <c r="AS17" s="31"/>
      <c r="AT17" s="31"/>
      <c r="AY17" s="31"/>
      <c r="AZ17" s="31"/>
      <c r="BB17" s="31"/>
      <c r="BC17" s="31"/>
      <c r="BE17" s="31"/>
      <c r="BF17" s="31"/>
      <c r="BH17" s="31"/>
      <c r="BI17" s="31"/>
      <c r="BK17" s="31"/>
      <c r="BL17" s="31"/>
      <c r="BM17" s="31"/>
      <c r="BO17" s="31"/>
      <c r="BP17" s="31"/>
      <c r="BQ17" s="31"/>
    </row>
    <row r="18" spans="2:69" s="149" customFormat="1" ht="11.1" customHeight="1" x14ac:dyDescent="0.2">
      <c r="B18" s="419"/>
      <c r="C18" s="97">
        <v>39356</v>
      </c>
      <c r="D18" s="98">
        <f>'Antes de Res. 1763 de 2007'!D96</f>
        <v>375.09855539673856</v>
      </c>
      <c r="E18" s="98">
        <f>'Antes de Res. 1763 de 2007'!E96</f>
        <v>383.19711720152259</v>
      </c>
      <c r="F18" s="99">
        <f>'Antes de Res. 1763 de 2007'!F96</f>
        <v>-4.0736495023777778E-3</v>
      </c>
      <c r="H18" s="64"/>
      <c r="I18" s="65"/>
      <c r="K18" s="42"/>
      <c r="L18" s="43"/>
      <c r="N18" s="64"/>
      <c r="O18" s="65"/>
      <c r="P18" s="31"/>
      <c r="Q18" s="42"/>
      <c r="R18" s="43"/>
      <c r="Z18" s="232"/>
      <c r="AA18" s="232"/>
      <c r="AB18" s="232"/>
      <c r="AC18" s="232"/>
      <c r="AD18" s="232"/>
      <c r="AF18" s="64"/>
      <c r="AG18" s="65"/>
      <c r="AH18" s="31"/>
      <c r="AI18" s="42"/>
      <c r="AJ18" s="43"/>
      <c r="AL18" s="136">
        <f>+'Antes de Res. 1763 de 2007'!AF96</f>
        <v>56.64</v>
      </c>
      <c r="AM18" s="147">
        <f>'Antes de Res. 1763 de 2007'!AG96</f>
        <v>166.24121925243995</v>
      </c>
      <c r="AO18" s="154"/>
      <c r="AP18" s="153"/>
      <c r="AQ18" s="52"/>
      <c r="AS18" s="31"/>
      <c r="AT18" s="31"/>
      <c r="AY18" s="31"/>
      <c r="AZ18" s="31"/>
      <c r="BB18" s="31"/>
      <c r="BC18" s="31"/>
      <c r="BE18" s="31"/>
      <c r="BF18" s="31"/>
      <c r="BH18" s="31"/>
      <c r="BI18" s="31"/>
      <c r="BK18" s="31"/>
      <c r="BL18" s="31"/>
      <c r="BM18" s="31"/>
      <c r="BO18" s="31"/>
      <c r="BP18" s="31"/>
      <c r="BQ18" s="31"/>
    </row>
    <row r="19" spans="2:69" s="149" customFormat="1" ht="11.1" customHeight="1" x14ac:dyDescent="0.2">
      <c r="B19" s="419"/>
      <c r="C19" s="97">
        <v>39387</v>
      </c>
      <c r="D19" s="98">
        <f>'Antes de Res. 1763 de 2007'!D97</f>
        <v>380.34919325794101</v>
      </c>
      <c r="E19" s="98">
        <f>'Antes de Res. 1763 de 2007'!E97</f>
        <v>381.93881268763676</v>
      </c>
      <c r="F19" s="99">
        <f>'Antes de Res. 1763 de 2007'!F97</f>
        <v>-3.2837003656895798E-3</v>
      </c>
      <c r="H19" s="64"/>
      <c r="I19" s="65"/>
      <c r="K19" s="42"/>
      <c r="L19" s="43"/>
      <c r="N19" s="64"/>
      <c r="O19" s="65"/>
      <c r="P19" s="31"/>
      <c r="Q19" s="42"/>
      <c r="R19" s="43"/>
      <c r="Z19" s="232"/>
      <c r="AA19" s="232"/>
      <c r="AB19" s="232"/>
      <c r="AC19" s="232"/>
      <c r="AD19" s="232"/>
      <c r="AF19" s="64"/>
      <c r="AG19" s="65"/>
      <c r="AH19" s="31"/>
      <c r="AI19" s="42"/>
      <c r="AJ19" s="43"/>
      <c r="AL19" s="136">
        <f>+'Antes de Res. 1763 de 2007'!AF97</f>
        <v>56.409268492185326</v>
      </c>
      <c r="AM19" s="147">
        <f>'Antes de Res. 1763 de 2007'!AG97</f>
        <v>165.56401079235758</v>
      </c>
      <c r="AO19" s="154"/>
      <c r="AP19" s="153"/>
      <c r="AQ19" s="54"/>
      <c r="AS19" s="31"/>
      <c r="AT19" s="31"/>
      <c r="AY19" s="31"/>
      <c r="AZ19" s="31"/>
      <c r="BB19" s="31"/>
      <c r="BC19" s="31"/>
      <c r="BE19" s="31"/>
      <c r="BF19" s="31"/>
      <c r="BH19" s="31"/>
      <c r="BI19" s="31"/>
      <c r="BK19" s="31"/>
      <c r="BL19" s="31"/>
      <c r="BM19" s="31"/>
      <c r="BO19" s="31"/>
      <c r="BP19" s="31"/>
      <c r="BQ19" s="31"/>
    </row>
    <row r="20" spans="2:69" s="149" customFormat="1" ht="11.1" customHeight="1" thickBot="1" x14ac:dyDescent="0.25">
      <c r="B20" s="420">
        <v>2007</v>
      </c>
      <c r="C20" s="100">
        <v>39417</v>
      </c>
      <c r="D20" s="101">
        <v>378.33735900444532</v>
      </c>
      <c r="E20" s="101">
        <f>AVERAGE(D8:D19)</f>
        <v>381.22509777565119</v>
      </c>
      <c r="F20" s="102">
        <f>(E20-E19)/E19</f>
        <v>-1.8686629592925498E-3</v>
      </c>
      <c r="H20" s="66">
        <v>24.27</v>
      </c>
      <c r="I20" s="67">
        <f>H20</f>
        <v>24.27</v>
      </c>
      <c r="K20" s="87">
        <v>34.700000000000003</v>
      </c>
      <c r="L20" s="56">
        <f>K20</f>
        <v>34.700000000000003</v>
      </c>
      <c r="N20" s="77">
        <v>7383345</v>
      </c>
      <c r="O20" s="78">
        <f>N20</f>
        <v>7383345</v>
      </c>
      <c r="P20" s="31"/>
      <c r="Q20" s="44">
        <v>8733451</v>
      </c>
      <c r="R20" s="45">
        <f>Q20</f>
        <v>8733451</v>
      </c>
      <c r="Z20" s="232"/>
      <c r="AA20" s="232"/>
      <c r="AB20" s="232"/>
      <c r="AC20" s="232"/>
      <c r="AD20" s="232"/>
      <c r="AF20" s="66">
        <v>123.74</v>
      </c>
      <c r="AG20" s="67">
        <f>AF20</f>
        <v>123.74</v>
      </c>
      <c r="AH20" s="31"/>
      <c r="AI20" s="44">
        <v>31976793</v>
      </c>
      <c r="AJ20" s="45">
        <f>AI20</f>
        <v>31976793</v>
      </c>
      <c r="AL20" s="66">
        <f>+AL19*(1+F19)</f>
        <v>56.224037356609252</v>
      </c>
      <c r="AM20" s="133">
        <f>AM19*(1+F19)</f>
        <v>165.02034818957367</v>
      </c>
      <c r="AO20" s="87">
        <v>135</v>
      </c>
      <c r="AP20" s="155">
        <f>+AO20</f>
        <v>135</v>
      </c>
      <c r="AQ20" s="156"/>
      <c r="AS20" s="31"/>
      <c r="AT20" s="31"/>
      <c r="AY20" s="31"/>
      <c r="AZ20" s="31"/>
      <c r="BB20" s="31"/>
      <c r="BC20" s="31"/>
      <c r="BE20" s="31"/>
      <c r="BF20" s="31"/>
      <c r="BH20" s="31"/>
      <c r="BI20" s="31"/>
      <c r="BK20" s="31"/>
      <c r="BL20" s="31"/>
      <c r="BM20" s="31"/>
      <c r="BO20" s="31"/>
      <c r="BP20" s="31"/>
      <c r="BQ20" s="31"/>
    </row>
    <row r="21" spans="2:69" s="149" customFormat="1" ht="11.1" customHeight="1" x14ac:dyDescent="0.2">
      <c r="B21" s="418">
        <v>2008</v>
      </c>
      <c r="C21" s="94">
        <v>39448</v>
      </c>
      <c r="D21" s="103">
        <v>381.14441344977905</v>
      </c>
      <c r="E21" s="103">
        <f>AVERAGE(D9:D20)</f>
        <v>380.6649796688348</v>
      </c>
      <c r="F21" s="105">
        <f>(E21-E20)/E20</f>
        <v>-1.4692582153812339E-3</v>
      </c>
      <c r="H21" s="62"/>
      <c r="I21" s="68">
        <f>I20</f>
        <v>24.27</v>
      </c>
      <c r="K21" s="40"/>
      <c r="L21" s="88">
        <f>L20</f>
        <v>34.700000000000003</v>
      </c>
      <c r="N21" s="79"/>
      <c r="O21" s="80">
        <f>O20</f>
        <v>7383345</v>
      </c>
      <c r="P21" s="31"/>
      <c r="Q21" s="46"/>
      <c r="R21" s="47">
        <f>R20</f>
        <v>8733451</v>
      </c>
      <c r="Z21" s="232"/>
      <c r="AA21" s="232"/>
      <c r="AB21" s="232"/>
      <c r="AC21" s="232"/>
      <c r="AD21" s="232"/>
      <c r="AF21" s="62"/>
      <c r="AG21" s="68">
        <f>AG20</f>
        <v>123.74</v>
      </c>
      <c r="AH21" s="31"/>
      <c r="AI21" s="46"/>
      <c r="AJ21" s="47">
        <f>AJ20</f>
        <v>31976793</v>
      </c>
      <c r="AL21" s="134">
        <f>+AL20*(1+F20)*0.98</f>
        <v>54.996594108967493</v>
      </c>
      <c r="AM21" s="135">
        <f>AM20*(1+F20)*0.98</f>
        <v>161.41774116183461</v>
      </c>
      <c r="AO21" s="157"/>
      <c r="AP21" s="158">
        <f>+AP20</f>
        <v>135</v>
      </c>
      <c r="AQ21" s="159"/>
      <c r="AS21" s="31"/>
      <c r="AT21" s="31"/>
      <c r="AY21" s="31"/>
      <c r="AZ21" s="31"/>
      <c r="BB21" s="31"/>
      <c r="BC21" s="31"/>
      <c r="BE21" s="31"/>
      <c r="BF21" s="31"/>
      <c r="BH21" s="31"/>
      <c r="BI21" s="31"/>
      <c r="BK21" s="31"/>
      <c r="BL21" s="31"/>
      <c r="BM21" s="31"/>
      <c r="BO21" s="31"/>
      <c r="BP21" s="31"/>
      <c r="BQ21" s="31"/>
    </row>
    <row r="22" spans="2:69" s="149" customFormat="1" ht="11.1" customHeight="1" x14ac:dyDescent="0.2">
      <c r="B22" s="419"/>
      <c r="C22" s="97">
        <v>39479</v>
      </c>
      <c r="D22" s="98">
        <v>376.00233821371774</v>
      </c>
      <c r="E22" s="98">
        <f>AVERAGE(D10:D21)</f>
        <v>379.62811255977152</v>
      </c>
      <c r="F22" s="99">
        <f>(E22-E21)/E21</f>
        <v>-2.7238310967436989E-3</v>
      </c>
      <c r="H22" s="64"/>
      <c r="I22" s="69">
        <f t="shared" ref="I22:I32" si="0">I21</f>
        <v>24.27</v>
      </c>
      <c r="K22" s="42"/>
      <c r="L22" s="52">
        <f t="shared" ref="L22:L32" si="1">L21</f>
        <v>34.700000000000003</v>
      </c>
      <c r="N22" s="81"/>
      <c r="O22" s="82">
        <f t="shared" ref="O22:O32" si="2">O21</f>
        <v>7383345</v>
      </c>
      <c r="P22" s="31"/>
      <c r="Q22" s="48"/>
      <c r="R22" s="49">
        <f t="shared" ref="R22:R32" si="3">R21</f>
        <v>8733451</v>
      </c>
      <c r="Z22" s="232"/>
      <c r="AA22" s="232"/>
      <c r="AB22" s="232"/>
      <c r="AC22" s="232"/>
      <c r="AD22" s="232"/>
      <c r="AF22" s="64"/>
      <c r="AG22" s="69">
        <f t="shared" ref="AG22:AG32" si="4">AG21</f>
        <v>123.74</v>
      </c>
      <c r="AH22" s="31"/>
      <c r="AI22" s="48"/>
      <c r="AJ22" s="49">
        <f t="shared" ref="AJ22:AJ32" si="5">AJ21</f>
        <v>31976793</v>
      </c>
      <c r="AL22" s="136">
        <f t="shared" ref="AL22:AL32" si="6">+AL21*(1+F21)</f>
        <v>54.915789911254905</v>
      </c>
      <c r="AM22" s="137">
        <f t="shared" ref="AM22:AM32" si="7">AM21*(1+F21)</f>
        <v>161.1805768195243</v>
      </c>
      <c r="AO22" s="160"/>
      <c r="AP22" s="161">
        <f t="shared" ref="AP22:AP32" si="8">+AP21</f>
        <v>135</v>
      </c>
      <c r="AQ22" s="162"/>
      <c r="AS22" s="31"/>
      <c r="AT22" s="31"/>
      <c r="AY22" s="31"/>
      <c r="AZ22" s="31"/>
      <c r="BB22" s="31"/>
      <c r="BC22" s="31"/>
      <c r="BE22" s="31"/>
      <c r="BF22" s="31"/>
      <c r="BH22" s="31"/>
      <c r="BI22" s="31"/>
      <c r="BK22" s="31"/>
      <c r="BL22" s="31"/>
      <c r="BM22" s="31"/>
      <c r="BO22" s="31"/>
      <c r="BP22" s="31"/>
      <c r="BQ22" s="31"/>
    </row>
    <row r="23" spans="2:69" s="149" customFormat="1" ht="11.1" customHeight="1" x14ac:dyDescent="0.2">
      <c r="B23" s="419"/>
      <c r="C23" s="97">
        <v>39508</v>
      </c>
      <c r="D23" s="98">
        <v>374.00602585339732</v>
      </c>
      <c r="E23" s="98">
        <f t="shared" ref="E23:E29" si="9">AVERAGE(D11:D22)</f>
        <v>378.33588646008275</v>
      </c>
      <c r="F23" s="99">
        <f>(E23-E22)/E22</f>
        <v>-3.4039262555544221E-3</v>
      </c>
      <c r="H23" s="64"/>
      <c r="I23" s="69">
        <f t="shared" si="0"/>
        <v>24.27</v>
      </c>
      <c r="K23" s="42"/>
      <c r="L23" s="52">
        <f t="shared" si="1"/>
        <v>34.700000000000003</v>
      </c>
      <c r="N23" s="81"/>
      <c r="O23" s="82">
        <f t="shared" si="2"/>
        <v>7383345</v>
      </c>
      <c r="P23" s="31"/>
      <c r="Q23" s="48"/>
      <c r="R23" s="49">
        <f t="shared" si="3"/>
        <v>8733451</v>
      </c>
      <c r="Z23" s="232"/>
      <c r="AA23" s="232"/>
      <c r="AB23" s="232"/>
      <c r="AC23" s="232"/>
      <c r="AD23" s="232"/>
      <c r="AF23" s="64"/>
      <c r="AG23" s="69">
        <f t="shared" si="4"/>
        <v>123.74</v>
      </c>
      <c r="AH23" s="31"/>
      <c r="AI23" s="48"/>
      <c r="AJ23" s="49">
        <f t="shared" si="5"/>
        <v>31976793</v>
      </c>
      <c r="AL23" s="136">
        <f t="shared" si="6"/>
        <v>54.766208574992383</v>
      </c>
      <c r="AM23" s="137">
        <f t="shared" si="7"/>
        <v>160.74154815219219</v>
      </c>
      <c r="AO23" s="160"/>
      <c r="AP23" s="161">
        <f t="shared" si="8"/>
        <v>135</v>
      </c>
      <c r="AQ23" s="162"/>
      <c r="AS23" s="31"/>
      <c r="AT23" s="31"/>
      <c r="AY23" s="31"/>
      <c r="AZ23" s="31"/>
      <c r="BB23" s="31"/>
      <c r="BC23" s="31"/>
      <c r="BE23" s="31"/>
      <c r="BF23" s="31"/>
      <c r="BH23" s="31"/>
      <c r="BI23" s="31"/>
      <c r="BK23" s="31"/>
      <c r="BL23" s="31"/>
      <c r="BM23" s="31"/>
      <c r="BO23" s="31"/>
      <c r="BP23" s="31"/>
      <c r="BQ23" s="31"/>
    </row>
    <row r="24" spans="2:69" s="149" customFormat="1" ht="11.1" customHeight="1" x14ac:dyDescent="0.2">
      <c r="B24" s="419"/>
      <c r="C24" s="97">
        <v>39539</v>
      </c>
      <c r="D24" s="98">
        <v>371.0367198225776</v>
      </c>
      <c r="E24" s="98">
        <f>AVERAGE(D12:D23)</f>
        <v>377.03720986996905</v>
      </c>
      <c r="F24" s="99">
        <f t="shared" ref="F24:F32" si="10">(E24-E23)/E23</f>
        <v>-3.4326021839081356E-3</v>
      </c>
      <c r="H24" s="64"/>
      <c r="I24" s="69">
        <f t="shared" si="0"/>
        <v>24.27</v>
      </c>
      <c r="K24" s="42"/>
      <c r="L24" s="52">
        <f t="shared" si="1"/>
        <v>34.700000000000003</v>
      </c>
      <c r="N24" s="81"/>
      <c r="O24" s="82">
        <f t="shared" si="2"/>
        <v>7383345</v>
      </c>
      <c r="P24" s="31"/>
      <c r="Q24" s="48"/>
      <c r="R24" s="49">
        <f t="shared" si="3"/>
        <v>8733451</v>
      </c>
      <c r="Z24" s="232"/>
      <c r="AA24" s="232"/>
      <c r="AB24" s="232"/>
      <c r="AC24" s="232"/>
      <c r="AD24" s="232"/>
      <c r="AF24" s="64"/>
      <c r="AG24" s="69">
        <f t="shared" si="4"/>
        <v>123.74</v>
      </c>
      <c r="AH24" s="31"/>
      <c r="AI24" s="48"/>
      <c r="AJ24" s="49">
        <f t="shared" si="5"/>
        <v>31976793</v>
      </c>
      <c r="AL24" s="136">
        <f t="shared" si="6"/>
        <v>54.579788439706796</v>
      </c>
      <c r="AM24" s="137">
        <f t="shared" si="7"/>
        <v>160.19439577607849</v>
      </c>
      <c r="AO24" s="160"/>
      <c r="AP24" s="161">
        <f t="shared" si="8"/>
        <v>135</v>
      </c>
      <c r="AQ24" s="162"/>
      <c r="AS24" s="31"/>
      <c r="AT24" s="31"/>
      <c r="AY24" s="31"/>
      <c r="AZ24" s="31"/>
      <c r="BB24" s="31"/>
      <c r="BC24" s="31"/>
      <c r="BE24" s="31"/>
      <c r="BF24" s="31"/>
      <c r="BH24" s="31"/>
      <c r="BI24" s="31"/>
      <c r="BK24" s="31"/>
      <c r="BL24" s="31"/>
      <c r="BM24" s="31"/>
      <c r="BO24" s="31"/>
      <c r="BP24" s="31"/>
      <c r="BQ24" s="31"/>
    </row>
    <row r="25" spans="2:69" s="149" customFormat="1" ht="11.1" customHeight="1" x14ac:dyDescent="0.2">
      <c r="B25" s="419"/>
      <c r="C25" s="97">
        <v>39569</v>
      </c>
      <c r="D25" s="98">
        <v>367.05151861870422</v>
      </c>
      <c r="E25" s="98">
        <f>AVERAGE(D13:D24)</f>
        <v>375.95252713785447</v>
      </c>
      <c r="F25" s="99">
        <f t="shared" si="10"/>
        <v>-2.8768585797901832E-3</v>
      </c>
      <c r="H25" s="64"/>
      <c r="I25" s="69">
        <f t="shared" si="0"/>
        <v>24.27</v>
      </c>
      <c r="K25" s="42"/>
      <c r="L25" s="52">
        <f t="shared" si="1"/>
        <v>34.700000000000003</v>
      </c>
      <c r="N25" s="81"/>
      <c r="O25" s="82">
        <f t="shared" si="2"/>
        <v>7383345</v>
      </c>
      <c r="P25" s="31"/>
      <c r="Q25" s="48"/>
      <c r="R25" s="49">
        <f t="shared" si="3"/>
        <v>8733451</v>
      </c>
      <c r="Z25" s="232"/>
      <c r="AA25" s="232"/>
      <c r="AB25" s="232"/>
      <c r="AC25" s="232"/>
      <c r="AD25" s="232"/>
      <c r="AF25" s="64"/>
      <c r="AG25" s="69">
        <f t="shared" si="4"/>
        <v>123.74</v>
      </c>
      <c r="AH25" s="31"/>
      <c r="AI25" s="48"/>
      <c r="AJ25" s="49">
        <f t="shared" si="5"/>
        <v>31976793</v>
      </c>
      <c r="AL25" s="136">
        <f t="shared" si="6"/>
        <v>54.392437738711415</v>
      </c>
      <c r="AM25" s="137">
        <f t="shared" si="7"/>
        <v>159.64451214328767</v>
      </c>
      <c r="AO25" s="160"/>
      <c r="AP25" s="161">
        <f t="shared" si="8"/>
        <v>135</v>
      </c>
      <c r="AQ25" s="162"/>
      <c r="AS25" s="31"/>
      <c r="AT25" s="31"/>
      <c r="AY25" s="31"/>
      <c r="AZ25" s="31"/>
      <c r="BB25" s="31"/>
      <c r="BC25" s="31"/>
      <c r="BE25" s="31"/>
      <c r="BF25" s="31"/>
      <c r="BH25" s="31"/>
      <c r="BI25" s="31"/>
      <c r="BK25" s="31"/>
      <c r="BL25" s="31"/>
      <c r="BM25" s="31"/>
      <c r="BO25" s="31"/>
      <c r="BP25" s="31"/>
      <c r="BQ25" s="31"/>
    </row>
    <row r="26" spans="2:69" s="149" customFormat="1" ht="11.1" customHeight="1" x14ac:dyDescent="0.2">
      <c r="B26" s="419"/>
      <c r="C26" s="97">
        <v>39600</v>
      </c>
      <c r="D26" s="98">
        <v>383.02356396941184</v>
      </c>
      <c r="E26" s="98">
        <f>AVERAGE(D14:D25)</f>
        <v>375.69448982116342</v>
      </c>
      <c r="F26" s="99">
        <f>(E26-E25)/E25</f>
        <v>-6.8635611696910275E-4</v>
      </c>
      <c r="H26" s="64"/>
      <c r="I26" s="69">
        <f>I25</f>
        <v>24.27</v>
      </c>
      <c r="K26" s="42"/>
      <c r="L26" s="52">
        <f t="shared" si="1"/>
        <v>34.700000000000003</v>
      </c>
      <c r="N26" s="81"/>
      <c r="O26" s="82">
        <f t="shared" si="2"/>
        <v>7383345</v>
      </c>
      <c r="P26" s="31"/>
      <c r="Q26" s="48"/>
      <c r="R26" s="49">
        <f t="shared" si="3"/>
        <v>8733451</v>
      </c>
      <c r="Z26" s="232"/>
      <c r="AA26" s="232"/>
      <c r="AB26" s="232"/>
      <c r="AC26" s="232"/>
      <c r="AD26" s="232"/>
      <c r="AF26" s="64"/>
      <c r="AG26" s="69">
        <f t="shared" si="4"/>
        <v>123.74</v>
      </c>
      <c r="AH26" s="31"/>
      <c r="AI26" s="48"/>
      <c r="AJ26" s="49">
        <f t="shared" si="5"/>
        <v>31976793</v>
      </c>
      <c r="AL26" s="136">
        <f t="shared" si="6"/>
        <v>54.235958387527099</v>
      </c>
      <c r="AM26" s="137">
        <f t="shared" si="7"/>
        <v>159.18523745881186</v>
      </c>
      <c r="AO26" s="160"/>
      <c r="AP26" s="161">
        <f t="shared" si="8"/>
        <v>135</v>
      </c>
      <c r="AQ26" s="162"/>
      <c r="AS26" s="31"/>
      <c r="AT26" s="31"/>
      <c r="AY26" s="31"/>
      <c r="AZ26" s="31"/>
      <c r="BB26" s="31"/>
      <c r="BC26" s="31"/>
      <c r="BE26" s="31"/>
      <c r="BF26" s="31"/>
      <c r="BH26" s="31"/>
      <c r="BI26" s="31"/>
      <c r="BK26" s="31"/>
      <c r="BL26" s="31"/>
      <c r="BM26" s="31"/>
      <c r="BO26" s="31"/>
      <c r="BP26" s="31"/>
      <c r="BQ26" s="31"/>
    </row>
    <row r="27" spans="2:69" s="149" customFormat="1" ht="11.1" customHeight="1" x14ac:dyDescent="0.2">
      <c r="B27" s="419"/>
      <c r="C27" s="97">
        <v>39630</v>
      </c>
      <c r="D27" s="98">
        <v>374.16169636204302</v>
      </c>
      <c r="E27" s="98">
        <f t="shared" si="9"/>
        <v>376.66954672478636</v>
      </c>
      <c r="F27" s="99">
        <f t="shared" si="10"/>
        <v>2.5953452340679388E-3</v>
      </c>
      <c r="H27" s="64"/>
      <c r="I27" s="69">
        <f t="shared" si="0"/>
        <v>24.27</v>
      </c>
      <c r="K27" s="42"/>
      <c r="L27" s="52">
        <f t="shared" si="1"/>
        <v>34.700000000000003</v>
      </c>
      <c r="N27" s="81"/>
      <c r="O27" s="82">
        <f t="shared" si="2"/>
        <v>7383345</v>
      </c>
      <c r="P27" s="31"/>
      <c r="Q27" s="48"/>
      <c r="R27" s="49">
        <f t="shared" si="3"/>
        <v>8733451</v>
      </c>
      <c r="Z27" s="232"/>
      <c r="AA27" s="232"/>
      <c r="AB27" s="232"/>
      <c r="AC27" s="232"/>
      <c r="AD27" s="232"/>
      <c r="AF27" s="64"/>
      <c r="AG27" s="69">
        <f t="shared" si="4"/>
        <v>123.74</v>
      </c>
      <c r="AH27" s="31"/>
      <c r="AI27" s="48"/>
      <c r="AJ27" s="49">
        <f t="shared" si="5"/>
        <v>31976793</v>
      </c>
      <c r="AL27" s="136">
        <f t="shared" si="6"/>
        <v>54.198733205728139</v>
      </c>
      <c r="AM27" s="137">
        <f t="shared" si="7"/>
        <v>159.07597969735082</v>
      </c>
      <c r="AO27" s="160"/>
      <c r="AP27" s="161">
        <f t="shared" si="8"/>
        <v>135</v>
      </c>
      <c r="AQ27" s="162"/>
      <c r="AS27" s="31"/>
      <c r="AT27" s="31"/>
      <c r="AY27" s="31"/>
      <c r="AZ27" s="31"/>
      <c r="BB27" s="31"/>
      <c r="BC27" s="31"/>
      <c r="BE27" s="31"/>
      <c r="BF27" s="31"/>
      <c r="BH27" s="31"/>
      <c r="BI27" s="31"/>
      <c r="BK27" s="31"/>
      <c r="BL27" s="31"/>
      <c r="BM27" s="31"/>
      <c r="BO27" s="31"/>
      <c r="BP27" s="31"/>
      <c r="BQ27" s="31"/>
    </row>
    <row r="28" spans="2:69" s="149" customFormat="1" ht="11.1" customHeight="1" x14ac:dyDescent="0.2">
      <c r="B28" s="419"/>
      <c r="C28" s="97">
        <v>39661</v>
      </c>
      <c r="D28" s="98">
        <v>384.59466586069169</v>
      </c>
      <c r="E28" s="98">
        <f t="shared" si="9"/>
        <v>376.8884792861229</v>
      </c>
      <c r="F28" s="99">
        <f t="shared" si="10"/>
        <v>5.8123244430085858E-4</v>
      </c>
      <c r="H28" s="64"/>
      <c r="I28" s="69">
        <f t="shared" si="0"/>
        <v>24.27</v>
      </c>
      <c r="K28" s="42"/>
      <c r="L28" s="52">
        <f t="shared" si="1"/>
        <v>34.700000000000003</v>
      </c>
      <c r="N28" s="81"/>
      <c r="O28" s="82">
        <f t="shared" si="2"/>
        <v>7383345</v>
      </c>
      <c r="P28" s="31"/>
      <c r="Q28" s="48"/>
      <c r="R28" s="49">
        <f t="shared" si="3"/>
        <v>8733451</v>
      </c>
      <c r="Z28" s="232"/>
      <c r="AA28" s="232"/>
      <c r="AB28" s="232"/>
      <c r="AC28" s="232"/>
      <c r="AD28" s="232"/>
      <c r="AF28" s="64"/>
      <c r="AG28" s="69">
        <f t="shared" si="4"/>
        <v>123.74</v>
      </c>
      <c r="AH28" s="31"/>
      <c r="AI28" s="48"/>
      <c r="AJ28" s="49">
        <f t="shared" si="5"/>
        <v>31976793</v>
      </c>
      <c r="AL28" s="136">
        <f t="shared" si="6"/>
        <v>54.339397629646143</v>
      </c>
      <c r="AM28" s="137">
        <f t="shared" si="7"/>
        <v>159.48883678311302</v>
      </c>
      <c r="AO28" s="160"/>
      <c r="AP28" s="161">
        <f t="shared" si="8"/>
        <v>135</v>
      </c>
      <c r="AQ28" s="162"/>
      <c r="AS28" s="31"/>
      <c r="AT28" s="31"/>
      <c r="AY28" s="31"/>
      <c r="AZ28" s="31"/>
      <c r="BB28" s="31"/>
      <c r="BC28" s="31"/>
      <c r="BE28" s="31"/>
      <c r="BF28" s="31"/>
      <c r="BH28" s="31"/>
      <c r="BI28" s="31"/>
      <c r="BK28" s="31"/>
      <c r="BL28" s="31"/>
      <c r="BM28" s="31"/>
      <c r="BO28" s="31"/>
      <c r="BP28" s="31"/>
      <c r="BQ28" s="31"/>
    </row>
    <row r="29" spans="2:69" s="149" customFormat="1" ht="11.1" customHeight="1" x14ac:dyDescent="0.2">
      <c r="B29" s="419"/>
      <c r="C29" s="97">
        <v>39692</v>
      </c>
      <c r="D29" s="98">
        <v>404.5185454728574</v>
      </c>
      <c r="E29" s="98">
        <f t="shared" si="9"/>
        <v>376.78801203448029</v>
      </c>
      <c r="F29" s="99">
        <f>(E29-E28)/E28</f>
        <v>-2.6657023805267544E-4</v>
      </c>
      <c r="H29" s="64"/>
      <c r="I29" s="69">
        <f t="shared" si="0"/>
        <v>24.27</v>
      </c>
      <c r="K29" s="42"/>
      <c r="L29" s="52">
        <f t="shared" si="1"/>
        <v>34.700000000000003</v>
      </c>
      <c r="N29" s="81"/>
      <c r="O29" s="82">
        <f t="shared" si="2"/>
        <v>7383345</v>
      </c>
      <c r="P29" s="31"/>
      <c r="Q29" s="48"/>
      <c r="R29" s="49">
        <f t="shared" si="3"/>
        <v>8733451</v>
      </c>
      <c r="Z29" s="232"/>
      <c r="AA29" s="232"/>
      <c r="AB29" s="232"/>
      <c r="AC29" s="232"/>
      <c r="AD29" s="232"/>
      <c r="AF29" s="64"/>
      <c r="AG29" s="69">
        <f t="shared" si="4"/>
        <v>123.74</v>
      </c>
      <c r="AH29" s="31"/>
      <c r="AI29" s="48"/>
      <c r="AJ29" s="49">
        <f t="shared" si="5"/>
        <v>31976793</v>
      </c>
      <c r="AL29" s="136">
        <f t="shared" si="6"/>
        <v>54.370981450552257</v>
      </c>
      <c r="AM29" s="137">
        <f t="shared" si="7"/>
        <v>159.58153686955515</v>
      </c>
      <c r="AO29" s="160"/>
      <c r="AP29" s="161">
        <f t="shared" si="8"/>
        <v>135</v>
      </c>
      <c r="AQ29" s="162"/>
      <c r="AS29" s="31"/>
      <c r="AT29" s="31"/>
      <c r="AY29" s="31"/>
      <c r="AZ29" s="31"/>
      <c r="BB29" s="31"/>
      <c r="BC29" s="31"/>
      <c r="BE29" s="31"/>
      <c r="BF29" s="31"/>
      <c r="BH29" s="31"/>
      <c r="BI29" s="31"/>
      <c r="BK29" s="31"/>
      <c r="BL29" s="31"/>
      <c r="BM29" s="31"/>
      <c r="BO29" s="31"/>
      <c r="BP29" s="31"/>
      <c r="BQ29" s="31"/>
    </row>
    <row r="30" spans="2:69" s="149" customFormat="1" ht="11.1" customHeight="1" x14ac:dyDescent="0.2">
      <c r="B30" s="419"/>
      <c r="C30" s="97">
        <v>39722</v>
      </c>
      <c r="D30" s="98">
        <v>419.93655010805122</v>
      </c>
      <c r="E30" s="98">
        <f t="shared" ref="E30:E40" si="11">AVERAGE(D18:D29)</f>
        <v>379.11038294019204</v>
      </c>
      <c r="F30" s="99">
        <f>(E30-E29)/E29</f>
        <v>6.1636008353132734E-3</v>
      </c>
      <c r="H30" s="64"/>
      <c r="I30" s="69">
        <f t="shared" si="0"/>
        <v>24.27</v>
      </c>
      <c r="K30" s="42"/>
      <c r="L30" s="52">
        <f t="shared" si="1"/>
        <v>34.700000000000003</v>
      </c>
      <c r="N30" s="81"/>
      <c r="O30" s="82">
        <f t="shared" si="2"/>
        <v>7383345</v>
      </c>
      <c r="P30" s="31"/>
      <c r="Q30" s="48"/>
      <c r="R30" s="49">
        <f t="shared" si="3"/>
        <v>8733451</v>
      </c>
      <c r="Z30" s="232"/>
      <c r="AA30" s="232"/>
      <c r="AB30" s="232"/>
      <c r="AC30" s="232"/>
      <c r="AD30" s="232"/>
      <c r="AF30" s="64"/>
      <c r="AG30" s="69">
        <f t="shared" si="4"/>
        <v>123.74</v>
      </c>
      <c r="AH30" s="31"/>
      <c r="AI30" s="48"/>
      <c r="AJ30" s="49">
        <f t="shared" si="5"/>
        <v>31976793</v>
      </c>
      <c r="AL30" s="136">
        <f t="shared" si="6"/>
        <v>54.356487765083827</v>
      </c>
      <c r="AM30" s="137">
        <f t="shared" si="7"/>
        <v>159.53899718128304</v>
      </c>
      <c r="AO30" s="160"/>
      <c r="AP30" s="161">
        <f t="shared" si="8"/>
        <v>135</v>
      </c>
      <c r="AQ30" s="162"/>
      <c r="AS30" s="31"/>
      <c r="AT30" s="31"/>
      <c r="AY30" s="31"/>
      <c r="AZ30" s="31"/>
      <c r="BB30" s="31"/>
      <c r="BC30" s="31"/>
      <c r="BE30" s="31"/>
      <c r="BF30" s="31"/>
      <c r="BH30" s="31"/>
      <c r="BI30" s="31"/>
      <c r="BK30" s="31"/>
      <c r="BL30" s="31"/>
      <c r="BM30" s="31"/>
      <c r="BO30" s="31"/>
      <c r="BP30" s="31"/>
      <c r="BQ30" s="31"/>
    </row>
    <row r="31" spans="2:69" s="149" customFormat="1" ht="11.1" customHeight="1" x14ac:dyDescent="0.2">
      <c r="B31" s="419"/>
      <c r="C31" s="97">
        <v>39753</v>
      </c>
      <c r="D31" s="98">
        <v>417.07584072801114</v>
      </c>
      <c r="E31" s="98">
        <f>AVERAGE(D19:D30)</f>
        <v>382.84688249946817</v>
      </c>
      <c r="F31" s="99">
        <f t="shared" si="10"/>
        <v>9.8559673578383408E-3</v>
      </c>
      <c r="H31" s="64"/>
      <c r="I31" s="69">
        <f t="shared" si="0"/>
        <v>24.27</v>
      </c>
      <c r="K31" s="42"/>
      <c r="L31" s="52">
        <f t="shared" si="1"/>
        <v>34.700000000000003</v>
      </c>
      <c r="N31" s="81"/>
      <c r="O31" s="82">
        <f t="shared" si="2"/>
        <v>7383345</v>
      </c>
      <c r="P31" s="31"/>
      <c r="Q31" s="48"/>
      <c r="R31" s="49">
        <f t="shared" si="3"/>
        <v>8733451</v>
      </c>
      <c r="Z31" s="232"/>
      <c r="AA31" s="232"/>
      <c r="AB31" s="232"/>
      <c r="AC31" s="232"/>
      <c r="AD31" s="232"/>
      <c r="AF31" s="64"/>
      <c r="AG31" s="69">
        <f t="shared" si="4"/>
        <v>123.74</v>
      </c>
      <c r="AH31" s="31"/>
      <c r="AI31" s="48"/>
      <c r="AJ31" s="49">
        <f t="shared" si="5"/>
        <v>31976793</v>
      </c>
      <c r="AL31" s="136">
        <f t="shared" si="6"/>
        <v>54.691519458477387</v>
      </c>
      <c r="AM31" s="137">
        <f t="shared" si="7"/>
        <v>160.52233187757463</v>
      </c>
      <c r="AO31" s="160"/>
      <c r="AP31" s="161">
        <f t="shared" si="8"/>
        <v>135</v>
      </c>
      <c r="AQ31" s="162"/>
      <c r="AS31" s="31"/>
      <c r="AT31" s="31"/>
      <c r="AY31" s="31"/>
      <c r="AZ31" s="31"/>
      <c r="BB31" s="31"/>
      <c r="BC31" s="31"/>
      <c r="BE31" s="31"/>
      <c r="BF31" s="31"/>
      <c r="BH31" s="31"/>
      <c r="BI31" s="31"/>
      <c r="BK31" s="31"/>
      <c r="BL31" s="31"/>
      <c r="BM31" s="31"/>
      <c r="BO31" s="31"/>
      <c r="BP31" s="31"/>
      <c r="BQ31" s="31"/>
    </row>
    <row r="32" spans="2:69" s="149" customFormat="1" ht="11.1" customHeight="1" thickBot="1" x14ac:dyDescent="0.25">
      <c r="B32" s="420"/>
      <c r="C32" s="100">
        <v>39783</v>
      </c>
      <c r="D32" s="101">
        <v>410.84552398439166</v>
      </c>
      <c r="E32" s="101">
        <f>AVERAGE(D20:D31)</f>
        <v>385.90743645530733</v>
      </c>
      <c r="F32" s="102">
        <f t="shared" si="10"/>
        <v>7.9941984530680354E-3</v>
      </c>
      <c r="H32" s="60"/>
      <c r="I32" s="67">
        <f t="shared" si="0"/>
        <v>24.27</v>
      </c>
      <c r="K32" s="38"/>
      <c r="L32" s="56">
        <f t="shared" si="1"/>
        <v>34.700000000000003</v>
      </c>
      <c r="N32" s="83"/>
      <c r="O32" s="78">
        <f t="shared" si="2"/>
        <v>7383345</v>
      </c>
      <c r="P32" s="31"/>
      <c r="Q32" s="50"/>
      <c r="R32" s="45">
        <f t="shared" si="3"/>
        <v>8733451</v>
      </c>
      <c r="Z32" s="232"/>
      <c r="AA32" s="232"/>
      <c r="AB32" s="232"/>
      <c r="AC32" s="232"/>
      <c r="AD32" s="232"/>
      <c r="AF32" s="60"/>
      <c r="AG32" s="67">
        <f t="shared" si="4"/>
        <v>123.74</v>
      </c>
      <c r="AH32" s="31"/>
      <c r="AI32" s="50"/>
      <c r="AJ32" s="45">
        <f t="shared" si="5"/>
        <v>31976793</v>
      </c>
      <c r="AL32" s="138">
        <f t="shared" si="6"/>
        <v>55.230557289010726</v>
      </c>
      <c r="AM32" s="133">
        <f t="shared" si="7"/>
        <v>162.10443474076411</v>
      </c>
      <c r="AO32" s="163"/>
      <c r="AP32" s="164">
        <f t="shared" si="8"/>
        <v>135</v>
      </c>
      <c r="AQ32" s="156"/>
      <c r="AS32" s="31"/>
      <c r="AT32" s="31"/>
      <c r="AY32" s="31"/>
      <c r="AZ32" s="31"/>
      <c r="BB32" s="31"/>
      <c r="BC32" s="31"/>
      <c r="BE32" s="31"/>
      <c r="BF32" s="31"/>
      <c r="BH32" s="31"/>
      <c r="BI32" s="31"/>
      <c r="BK32" s="31"/>
      <c r="BL32" s="31"/>
      <c r="BM32" s="31"/>
      <c r="BO32" s="31"/>
      <c r="BP32" s="31"/>
      <c r="BQ32" s="31"/>
    </row>
    <row r="33" spans="2:69" s="149" customFormat="1" ht="11.1" customHeight="1" x14ac:dyDescent="0.2">
      <c r="B33" s="418">
        <v>2009</v>
      </c>
      <c r="C33" s="94">
        <v>39814</v>
      </c>
      <c r="D33" s="103">
        <v>429.86724938243805</v>
      </c>
      <c r="E33" s="103">
        <f>AVERAGE(D21:D32)</f>
        <v>388.61645020363613</v>
      </c>
      <c r="F33" s="105">
        <f>(E33-E32)/E32</f>
        <v>7.0198537069200437E-3</v>
      </c>
      <c r="H33" s="62"/>
      <c r="I33" s="70">
        <f>(1+((E32-E14)/E14))*H20*0.98</f>
        <v>23.483921301110762</v>
      </c>
      <c r="K33" s="40"/>
      <c r="L33" s="89">
        <f>(1+((E32-E14)/E14))*K20*0.98</f>
        <v>33.576105032902497</v>
      </c>
      <c r="N33" s="62"/>
      <c r="O33" s="84">
        <f>(1+((E32-E14)/E14))*N20*0.98</f>
        <v>7144206.5479583703</v>
      </c>
      <c r="P33" s="31"/>
      <c r="Q33" s="40"/>
      <c r="R33" s="51">
        <f>(1+((E32-E14)/E14))*Q20*0.98</f>
        <v>8450584.0944007859</v>
      </c>
      <c r="Z33" s="232"/>
      <c r="AA33" s="232"/>
      <c r="AB33" s="232"/>
      <c r="AC33" s="232"/>
      <c r="AD33" s="232"/>
      <c r="AF33" s="62"/>
      <c r="AG33" s="70">
        <f>(1+((E32-E14)/E14))*AF20*0.98</f>
        <v>119.73219702511106</v>
      </c>
      <c r="AH33" s="31"/>
      <c r="AI33" s="40"/>
      <c r="AJ33" s="89">
        <f>(1+((E32-E14)/E14))*AI20*0.98</f>
        <v>30941099.722864009</v>
      </c>
      <c r="AL33" s="134">
        <f>+AL32*(1+F32)*0.98</f>
        <v>54.558639698159567</v>
      </c>
      <c r="AM33" s="135">
        <f>AM32*(1+F32)*0.98</f>
        <v>160.13232316696011</v>
      </c>
      <c r="AO33" s="157"/>
      <c r="AP33" s="165">
        <f>(1+((E32-E14)/E14))*AO20*0.98</f>
        <v>130.62749796662351</v>
      </c>
      <c r="AQ33" s="159"/>
      <c r="AS33" s="31"/>
      <c r="AT33" s="31"/>
      <c r="AY33" s="31"/>
      <c r="AZ33" s="31"/>
      <c r="BB33" s="31"/>
      <c r="BC33" s="31"/>
      <c r="BE33" s="31"/>
      <c r="BF33" s="31"/>
      <c r="BH33" s="31"/>
      <c r="BI33" s="31"/>
      <c r="BK33" s="31"/>
      <c r="BL33" s="31"/>
      <c r="BM33" s="31"/>
      <c r="BO33" s="31"/>
      <c r="BP33" s="31"/>
      <c r="BQ33" s="31"/>
    </row>
    <row r="34" spans="2:69" s="149" customFormat="1" ht="11.1" customHeight="1" x14ac:dyDescent="0.2">
      <c r="B34" s="419"/>
      <c r="C34" s="97">
        <v>39845</v>
      </c>
      <c r="D34" s="98">
        <v>441.44778362404395</v>
      </c>
      <c r="E34" s="98">
        <f t="shared" si="11"/>
        <v>392.67668653135775</v>
      </c>
      <c r="F34" s="99">
        <f t="shared" ref="F34:F39" si="12">(E34-E33)/E33</f>
        <v>1.0447927064317622E-2</v>
      </c>
      <c r="H34" s="64"/>
      <c r="I34" s="69">
        <f t="shared" ref="I34:I39" si="13">I33</f>
        <v>23.483921301110762</v>
      </c>
      <c r="K34" s="42"/>
      <c r="L34" s="52">
        <f t="shared" ref="L34:L39" si="14">L33</f>
        <v>33.576105032902497</v>
      </c>
      <c r="N34" s="64"/>
      <c r="O34" s="69">
        <f t="shared" ref="O34:O39" si="15">O33</f>
        <v>7144206.5479583703</v>
      </c>
      <c r="P34" s="31"/>
      <c r="Q34" s="42"/>
      <c r="R34" s="52">
        <f t="shared" ref="R34:R39" si="16">R33</f>
        <v>8450584.0944007859</v>
      </c>
      <c r="Z34" s="232"/>
      <c r="AA34" s="232"/>
      <c r="AB34" s="232"/>
      <c r="AC34" s="232"/>
      <c r="AD34" s="232"/>
      <c r="AF34" s="64"/>
      <c r="AG34" s="69">
        <f t="shared" ref="AG34:AG39" si="17">AG33</f>
        <v>119.73219702511106</v>
      </c>
      <c r="AH34" s="31"/>
      <c r="AI34" s="42"/>
      <c r="AJ34" s="52">
        <f>AJ33</f>
        <v>30941099.722864009</v>
      </c>
      <c r="AL34" s="136">
        <f t="shared" ref="AL34:AL44" si="18">+AL33*(1+F33)</f>
        <v>54.941633367289214</v>
      </c>
      <c r="AM34" s="137">
        <f t="shared" ref="AM34:AM44" si="19">AM33*(1+F33)</f>
        <v>161.25642864934142</v>
      </c>
      <c r="AO34" s="160"/>
      <c r="AP34" s="161">
        <f t="shared" ref="AP34:AP39" si="20">+AP33</f>
        <v>130.62749796662351</v>
      </c>
      <c r="AQ34" s="162"/>
      <c r="AS34" s="31"/>
      <c r="AT34" s="31"/>
      <c r="AY34" s="31"/>
      <c r="AZ34" s="31"/>
      <c r="BB34" s="31"/>
      <c r="BC34" s="31"/>
      <c r="BE34" s="31"/>
      <c r="BF34" s="31"/>
      <c r="BH34" s="31"/>
      <c r="BI34" s="31"/>
      <c r="BK34" s="31"/>
      <c r="BL34" s="31"/>
      <c r="BM34" s="31"/>
      <c r="BO34" s="31"/>
      <c r="BP34" s="31"/>
      <c r="BQ34" s="31"/>
    </row>
    <row r="35" spans="2:69" s="149" customFormat="1" ht="11.1" customHeight="1" x14ac:dyDescent="0.2">
      <c r="B35" s="419"/>
      <c r="C35" s="97">
        <v>39873</v>
      </c>
      <c r="D35" s="98">
        <v>442.24797165939344</v>
      </c>
      <c r="E35" s="98">
        <f t="shared" si="11"/>
        <v>398.1304736488849</v>
      </c>
      <c r="F35" s="99">
        <f t="shared" si="12"/>
        <v>1.3888746912128271E-2</v>
      </c>
      <c r="H35" s="64"/>
      <c r="I35" s="69">
        <f t="shared" si="13"/>
        <v>23.483921301110762</v>
      </c>
      <c r="K35" s="42"/>
      <c r="L35" s="52">
        <f t="shared" si="14"/>
        <v>33.576105032902497</v>
      </c>
      <c r="N35" s="64"/>
      <c r="O35" s="69">
        <f t="shared" si="15"/>
        <v>7144206.5479583703</v>
      </c>
      <c r="P35" s="31"/>
      <c r="Q35" s="42"/>
      <c r="R35" s="52">
        <f t="shared" si="16"/>
        <v>8450584.0944007859</v>
      </c>
      <c r="Z35" s="232"/>
      <c r="AA35" s="232"/>
      <c r="AB35" s="232"/>
      <c r="AC35" s="232"/>
      <c r="AD35" s="232"/>
      <c r="AF35" s="64"/>
      <c r="AG35" s="69">
        <f t="shared" si="17"/>
        <v>119.73219702511106</v>
      </c>
      <c r="AH35" s="31"/>
      <c r="AI35" s="42"/>
      <c r="AJ35" s="52">
        <f t="shared" ref="AJ35:AJ39" si="21">AJ34</f>
        <v>30941099.722864009</v>
      </c>
      <c r="AL35" s="136">
        <f t="shared" si="18"/>
        <v>55.51565954550513</v>
      </c>
      <c r="AM35" s="137">
        <f t="shared" si="19"/>
        <v>162.94122405452208</v>
      </c>
      <c r="AO35" s="160"/>
      <c r="AP35" s="161">
        <f t="shared" si="20"/>
        <v>130.62749796662351</v>
      </c>
      <c r="AQ35" s="162"/>
      <c r="AS35" s="31"/>
      <c r="AT35" s="31"/>
      <c r="AY35" s="31"/>
      <c r="AZ35" s="31"/>
      <c r="BB35" s="31"/>
      <c r="BC35" s="31"/>
      <c r="BE35" s="31"/>
      <c r="BF35" s="31"/>
      <c r="BH35" s="31"/>
      <c r="BI35" s="31"/>
      <c r="BK35" s="31"/>
      <c r="BL35" s="31"/>
      <c r="BM35" s="31"/>
      <c r="BO35" s="31"/>
      <c r="BP35" s="31"/>
      <c r="BQ35" s="31"/>
    </row>
    <row r="36" spans="2:69" s="149" customFormat="1" ht="11.1" customHeight="1" x14ac:dyDescent="0.2">
      <c r="B36" s="419"/>
      <c r="C36" s="97">
        <v>39904</v>
      </c>
      <c r="D36" s="98">
        <v>423.83615282660696</v>
      </c>
      <c r="E36" s="98">
        <f t="shared" si="11"/>
        <v>403.81730246605122</v>
      </c>
      <c r="F36" s="99">
        <f t="shared" si="12"/>
        <v>1.4283832043918306E-2</v>
      </c>
      <c r="H36" s="64"/>
      <c r="I36" s="69">
        <f t="shared" si="13"/>
        <v>23.483921301110762</v>
      </c>
      <c r="K36" s="42"/>
      <c r="L36" s="52">
        <f t="shared" si="14"/>
        <v>33.576105032902497</v>
      </c>
      <c r="N36" s="64"/>
      <c r="O36" s="69">
        <f t="shared" si="15"/>
        <v>7144206.5479583703</v>
      </c>
      <c r="P36" s="31"/>
      <c r="Q36" s="42"/>
      <c r="R36" s="52">
        <f t="shared" si="16"/>
        <v>8450584.0944007859</v>
      </c>
      <c r="Z36" s="232"/>
      <c r="AA36" s="232"/>
      <c r="AB36" s="232"/>
      <c r="AC36" s="232"/>
      <c r="AD36" s="232"/>
      <c r="AF36" s="64"/>
      <c r="AG36" s="69">
        <f t="shared" si="17"/>
        <v>119.73219702511106</v>
      </c>
      <c r="AH36" s="31"/>
      <c r="AI36" s="42"/>
      <c r="AJ36" s="52">
        <f t="shared" si="21"/>
        <v>30941099.722864009</v>
      </c>
      <c r="AL36" s="136">
        <f t="shared" si="18"/>
        <v>56.286702490592532</v>
      </c>
      <c r="AM36" s="137">
        <f t="shared" si="19"/>
        <v>165.20427347696773</v>
      </c>
      <c r="AO36" s="160"/>
      <c r="AP36" s="161">
        <f t="shared" si="20"/>
        <v>130.62749796662351</v>
      </c>
      <c r="AQ36" s="162"/>
      <c r="AS36" s="31"/>
      <c r="AT36" s="31"/>
      <c r="AY36" s="31"/>
      <c r="AZ36" s="31"/>
      <c r="BB36" s="31"/>
      <c r="BC36" s="31"/>
      <c r="BE36" s="31"/>
      <c r="BF36" s="31"/>
      <c r="BH36" s="31"/>
      <c r="BI36" s="31"/>
      <c r="BK36" s="31"/>
      <c r="BL36" s="31"/>
      <c r="BM36" s="31"/>
      <c r="BO36" s="31"/>
      <c r="BP36" s="31"/>
      <c r="BQ36" s="31"/>
    </row>
    <row r="37" spans="2:69" s="149" customFormat="1" ht="11.1" customHeight="1" x14ac:dyDescent="0.2">
      <c r="B37" s="419"/>
      <c r="C37" s="97">
        <v>39934</v>
      </c>
      <c r="D37" s="98">
        <v>412.3764727990702</v>
      </c>
      <c r="E37" s="98">
        <f t="shared" si="11"/>
        <v>408.217255216387</v>
      </c>
      <c r="F37" s="99">
        <f t="shared" si="12"/>
        <v>1.0895899515612479E-2</v>
      </c>
      <c r="H37" s="64"/>
      <c r="I37" s="69">
        <f t="shared" si="13"/>
        <v>23.483921301110762</v>
      </c>
      <c r="K37" s="42"/>
      <c r="L37" s="52">
        <f t="shared" si="14"/>
        <v>33.576105032902497</v>
      </c>
      <c r="N37" s="64"/>
      <c r="O37" s="69">
        <f t="shared" si="15"/>
        <v>7144206.5479583703</v>
      </c>
      <c r="P37" s="31"/>
      <c r="Q37" s="42"/>
      <c r="R37" s="52">
        <f t="shared" si="16"/>
        <v>8450584.0944007859</v>
      </c>
      <c r="Z37" s="232"/>
      <c r="AA37" s="232"/>
      <c r="AB37" s="232"/>
      <c r="AC37" s="232"/>
      <c r="AD37" s="232"/>
      <c r="AF37" s="64"/>
      <c r="AG37" s="69">
        <f t="shared" si="17"/>
        <v>119.73219702511106</v>
      </c>
      <c r="AH37" s="31"/>
      <c r="AI37" s="42"/>
      <c r="AJ37" s="52">
        <f t="shared" si="21"/>
        <v>30941099.722864009</v>
      </c>
      <c r="AL37" s="136">
        <f t="shared" si="18"/>
        <v>57.090692295274152</v>
      </c>
      <c r="AM37" s="137">
        <f t="shared" si="19"/>
        <v>167.56402357225028</v>
      </c>
      <c r="AO37" s="160"/>
      <c r="AP37" s="161">
        <f t="shared" si="20"/>
        <v>130.62749796662351</v>
      </c>
      <c r="AQ37" s="162"/>
      <c r="AS37" s="31"/>
      <c r="AT37" s="31"/>
      <c r="AY37" s="31"/>
      <c r="AZ37" s="31"/>
      <c r="BB37" s="31"/>
      <c r="BC37" s="31"/>
      <c r="BE37" s="31"/>
      <c r="BF37" s="31"/>
      <c r="BH37" s="31"/>
      <c r="BI37" s="31"/>
      <c r="BK37" s="31"/>
      <c r="BL37" s="31"/>
      <c r="BM37" s="31"/>
      <c r="BO37" s="31"/>
      <c r="BP37" s="31"/>
      <c r="BQ37" s="31"/>
    </row>
    <row r="38" spans="2:69" s="149" customFormat="1" ht="11.1" customHeight="1" x14ac:dyDescent="0.2">
      <c r="B38" s="419"/>
      <c r="C38" s="97">
        <v>39965</v>
      </c>
      <c r="D38" s="98">
        <v>412.47037240400743</v>
      </c>
      <c r="E38" s="98">
        <f t="shared" si="11"/>
        <v>411.9943347314175</v>
      </c>
      <c r="F38" s="99">
        <f t="shared" si="12"/>
        <v>9.2526209188005699E-3</v>
      </c>
      <c r="H38" s="64"/>
      <c r="I38" s="69">
        <f t="shared" si="13"/>
        <v>23.483921301110762</v>
      </c>
      <c r="K38" s="42"/>
      <c r="L38" s="52">
        <f t="shared" si="14"/>
        <v>33.576105032902497</v>
      </c>
      <c r="N38" s="64"/>
      <c r="O38" s="69">
        <f t="shared" si="15"/>
        <v>7144206.5479583703</v>
      </c>
      <c r="P38" s="31"/>
      <c r="Q38" s="42"/>
      <c r="R38" s="52">
        <f t="shared" si="16"/>
        <v>8450584.0944007859</v>
      </c>
      <c r="Z38" s="232"/>
      <c r="AA38" s="232"/>
      <c r="AB38" s="232"/>
      <c r="AC38" s="232"/>
      <c r="AD38" s="232"/>
      <c r="AF38" s="64"/>
      <c r="AG38" s="69">
        <f t="shared" si="17"/>
        <v>119.73219702511106</v>
      </c>
      <c r="AH38" s="31"/>
      <c r="AI38" s="42"/>
      <c r="AJ38" s="52">
        <f t="shared" si="21"/>
        <v>30941099.722864009</v>
      </c>
      <c r="AL38" s="136">
        <f t="shared" si="18"/>
        <v>57.712746741800217</v>
      </c>
      <c r="AM38" s="137">
        <f t="shared" si="19"/>
        <v>169.38978433552523</v>
      </c>
      <c r="AO38" s="160"/>
      <c r="AP38" s="161">
        <f t="shared" si="20"/>
        <v>130.62749796662351</v>
      </c>
      <c r="AQ38" s="162"/>
      <c r="AS38" s="31"/>
      <c r="AT38" s="31"/>
      <c r="AY38" s="31"/>
      <c r="AZ38" s="31"/>
      <c r="BB38" s="31"/>
      <c r="BC38" s="31"/>
      <c r="BE38" s="31"/>
      <c r="BF38" s="31"/>
      <c r="BH38" s="31"/>
      <c r="BI38" s="31"/>
      <c r="BK38" s="31"/>
      <c r="BL38" s="31"/>
      <c r="BM38" s="31"/>
      <c r="BO38" s="31"/>
      <c r="BP38" s="31"/>
      <c r="BQ38" s="31"/>
    </row>
    <row r="39" spans="2:69" s="149" customFormat="1" ht="11.1" customHeight="1" x14ac:dyDescent="0.2">
      <c r="B39" s="419"/>
      <c r="C39" s="97">
        <v>39995</v>
      </c>
      <c r="D39" s="98">
        <v>403.69843419166</v>
      </c>
      <c r="E39" s="98">
        <f t="shared" si="11"/>
        <v>414.44823543430044</v>
      </c>
      <c r="F39" s="99">
        <f t="shared" si="12"/>
        <v>5.9561515681584931E-3</v>
      </c>
      <c r="H39" s="64"/>
      <c r="I39" s="69">
        <f t="shared" si="13"/>
        <v>23.483921301110762</v>
      </c>
      <c r="K39" s="42"/>
      <c r="L39" s="52">
        <f t="shared" si="14"/>
        <v>33.576105032902497</v>
      </c>
      <c r="N39" s="64"/>
      <c r="O39" s="69">
        <f t="shared" si="15"/>
        <v>7144206.5479583703</v>
      </c>
      <c r="P39" s="31"/>
      <c r="Q39" s="42"/>
      <c r="R39" s="52">
        <f t="shared" si="16"/>
        <v>8450584.0944007859</v>
      </c>
      <c r="Z39" s="232"/>
      <c r="AA39" s="232"/>
      <c r="AB39" s="232"/>
      <c r="AC39" s="232"/>
      <c r="AD39" s="232"/>
      <c r="AF39" s="64"/>
      <c r="AG39" s="69">
        <f t="shared" si="17"/>
        <v>119.73219702511106</v>
      </c>
      <c r="AH39" s="31"/>
      <c r="AI39" s="42"/>
      <c r="AJ39" s="52">
        <f t="shared" si="21"/>
        <v>30941099.722864009</v>
      </c>
      <c r="AL39" s="136">
        <f t="shared" si="18"/>
        <v>58.246740909584844</v>
      </c>
      <c r="AM39" s="137">
        <f t="shared" si="19"/>
        <v>170.95708379749925</v>
      </c>
      <c r="AO39" s="160"/>
      <c r="AP39" s="161">
        <f t="shared" si="20"/>
        <v>130.62749796662351</v>
      </c>
      <c r="AQ39" s="162"/>
      <c r="AS39" s="31"/>
      <c r="AT39" s="31"/>
      <c r="AY39" s="31"/>
      <c r="AZ39" s="31"/>
      <c r="BB39" s="31"/>
      <c r="BC39" s="31"/>
      <c r="BE39" s="31"/>
      <c r="BF39" s="31"/>
      <c r="BH39" s="31"/>
      <c r="BI39" s="31"/>
      <c r="BK39" s="31"/>
      <c r="BL39" s="31"/>
      <c r="BM39" s="31"/>
      <c r="BO39" s="31"/>
      <c r="BP39" s="31"/>
      <c r="BQ39" s="31"/>
    </row>
    <row r="40" spans="2:69" s="149" customFormat="1" ht="11.1" customHeight="1" x14ac:dyDescent="0.2">
      <c r="B40" s="419"/>
      <c r="C40" s="97">
        <v>40026</v>
      </c>
      <c r="D40" s="98">
        <v>402.03933679412341</v>
      </c>
      <c r="E40" s="98">
        <f t="shared" si="11"/>
        <v>416.90963025343518</v>
      </c>
      <c r="F40" s="99">
        <f t="shared" ref="F40:F71" si="22">(E40-E39)/E39</f>
        <v>5.9389680271058282E-3</v>
      </c>
      <c r="H40" s="64"/>
      <c r="I40" s="69">
        <f>I39</f>
        <v>23.483921301110762</v>
      </c>
      <c r="K40" s="42"/>
      <c r="L40" s="52">
        <f>L39</f>
        <v>33.576105032902497</v>
      </c>
      <c r="N40" s="64"/>
      <c r="O40" s="69">
        <f>O39</f>
        <v>7144206.5479583703</v>
      </c>
      <c r="P40" s="31"/>
      <c r="Q40" s="42"/>
      <c r="R40" s="52">
        <f>R39</f>
        <v>8450584.0944007859</v>
      </c>
      <c r="Z40" s="232"/>
      <c r="AA40" s="232"/>
      <c r="AB40" s="232"/>
      <c r="AC40" s="232"/>
      <c r="AD40" s="232"/>
      <c r="AF40" s="64"/>
      <c r="AG40" s="69">
        <f>AG39</f>
        <v>119.73219702511106</v>
      </c>
      <c r="AH40" s="31"/>
      <c r="AI40" s="42"/>
      <c r="AJ40" s="52">
        <f>AJ39</f>
        <v>30941099.722864009</v>
      </c>
      <c r="AL40" s="136">
        <f t="shared" si="18"/>
        <v>58.593667326793593</v>
      </c>
      <c r="AM40" s="137">
        <f t="shared" si="19"/>
        <v>171.97533010024753</v>
      </c>
      <c r="AO40" s="160"/>
      <c r="AP40" s="161">
        <f>+AP39</f>
        <v>130.62749796662351</v>
      </c>
      <c r="AQ40" s="162"/>
      <c r="AS40" s="31"/>
      <c r="AT40" s="31"/>
      <c r="AY40" s="31"/>
      <c r="AZ40" s="31"/>
      <c r="BB40" s="31"/>
      <c r="BC40" s="31"/>
      <c r="BE40" s="31"/>
      <c r="BF40" s="31"/>
      <c r="BH40" s="31"/>
      <c r="BI40" s="31"/>
      <c r="BK40" s="31"/>
      <c r="BL40" s="31"/>
      <c r="BM40" s="31"/>
      <c r="BO40" s="31"/>
      <c r="BP40" s="31"/>
      <c r="BQ40" s="31"/>
    </row>
    <row r="41" spans="2:69" s="149" customFormat="1" ht="11.1" customHeight="1" x14ac:dyDescent="0.2">
      <c r="B41" s="419"/>
      <c r="C41" s="97">
        <v>40057</v>
      </c>
      <c r="D41" s="98">
        <v>392.32874914425292</v>
      </c>
      <c r="E41" s="98">
        <f t="shared" ref="E41:E68" si="23">AVERAGE(D29:D40)</f>
        <v>418.36335283122116</v>
      </c>
      <c r="F41" s="99">
        <f t="shared" si="22"/>
        <v>3.4869009307899133E-3</v>
      </c>
      <c r="H41" s="64"/>
      <c r="I41" s="69">
        <f>I40</f>
        <v>23.483921301110762</v>
      </c>
      <c r="K41" s="42"/>
      <c r="L41" s="52">
        <f>L40</f>
        <v>33.576105032902497</v>
      </c>
      <c r="N41" s="64"/>
      <c r="O41" s="69">
        <f>O40</f>
        <v>7144206.5479583703</v>
      </c>
      <c r="P41" s="31"/>
      <c r="Q41" s="42"/>
      <c r="R41" s="52">
        <f>R40</f>
        <v>8450584.0944007859</v>
      </c>
      <c r="Z41" s="232"/>
      <c r="AA41" s="232"/>
      <c r="AB41" s="232"/>
      <c r="AC41" s="232"/>
      <c r="AD41" s="232"/>
      <c r="AF41" s="64"/>
      <c r="AG41" s="69">
        <f>AG40</f>
        <v>119.73219702511106</v>
      </c>
      <c r="AH41" s="31"/>
      <c r="AI41" s="42"/>
      <c r="AJ41" s="52">
        <f>AJ40</f>
        <v>30941099.722864009</v>
      </c>
      <c r="AL41" s="136">
        <f t="shared" si="18"/>
        <v>58.941653243638292</v>
      </c>
      <c r="AM41" s="137">
        <f t="shared" si="19"/>
        <v>172.99668608716388</v>
      </c>
      <c r="AO41" s="160"/>
      <c r="AP41" s="161">
        <f>+AP40</f>
        <v>130.62749796662351</v>
      </c>
      <c r="AQ41" s="162"/>
      <c r="AS41" s="31"/>
      <c r="AT41" s="31"/>
      <c r="AY41" s="31"/>
      <c r="AZ41" s="31"/>
      <c r="BB41" s="31"/>
      <c r="BC41" s="31"/>
      <c r="BE41" s="31"/>
      <c r="BF41" s="31"/>
      <c r="BH41" s="31"/>
      <c r="BI41" s="31"/>
      <c r="BK41" s="31"/>
      <c r="BL41" s="31"/>
      <c r="BM41" s="31"/>
      <c r="BO41" s="31"/>
      <c r="BP41" s="31"/>
      <c r="BQ41" s="31"/>
    </row>
    <row r="42" spans="2:69" s="149" customFormat="1" ht="11.1" customHeight="1" x14ac:dyDescent="0.2">
      <c r="B42" s="419"/>
      <c r="C42" s="97">
        <v>40087</v>
      </c>
      <c r="D42" s="98">
        <v>396.07167185292775</v>
      </c>
      <c r="E42" s="98">
        <f t="shared" si="23"/>
        <v>417.34753647050428</v>
      </c>
      <c r="F42" s="99">
        <f t="shared" si="22"/>
        <v>-2.4280720427410146E-3</v>
      </c>
      <c r="H42" s="64"/>
      <c r="I42" s="69">
        <f>I41</f>
        <v>23.483921301110762</v>
      </c>
      <c r="K42" s="42"/>
      <c r="L42" s="52">
        <f>L41</f>
        <v>33.576105032902497</v>
      </c>
      <c r="N42" s="64"/>
      <c r="O42" s="69">
        <f>O41</f>
        <v>7144206.5479583703</v>
      </c>
      <c r="P42" s="31"/>
      <c r="Q42" s="42"/>
      <c r="R42" s="52">
        <f>R41</f>
        <v>8450584.0944007859</v>
      </c>
      <c r="Z42" s="232"/>
      <c r="AA42" s="232"/>
      <c r="AB42" s="232"/>
      <c r="AC42" s="232"/>
      <c r="AD42" s="232"/>
      <c r="AF42" s="64"/>
      <c r="AG42" s="69">
        <f>AG41</f>
        <v>119.73219702511106</v>
      </c>
      <c r="AH42" s="31"/>
      <c r="AI42" s="42"/>
      <c r="AJ42" s="52">
        <f>AJ41</f>
        <v>30941099.722864009</v>
      </c>
      <c r="AL42" s="136">
        <f t="shared" si="18"/>
        <v>59.147176949195824</v>
      </c>
      <c r="AM42" s="137">
        <f t="shared" si="19"/>
        <v>173.59990839290478</v>
      </c>
      <c r="AO42" s="160"/>
      <c r="AP42" s="161">
        <f>+AP41</f>
        <v>130.62749796662351</v>
      </c>
      <c r="AQ42" s="162"/>
      <c r="AS42" s="31"/>
      <c r="AT42" s="31"/>
      <c r="AY42" s="31"/>
      <c r="AZ42" s="31"/>
      <c r="BB42" s="31"/>
      <c r="BC42" s="31"/>
      <c r="BE42" s="31"/>
      <c r="BF42" s="31"/>
      <c r="BH42" s="31"/>
      <c r="BI42" s="31"/>
      <c r="BK42" s="31"/>
      <c r="BL42" s="31"/>
      <c r="BM42" s="31"/>
      <c r="BO42" s="31"/>
      <c r="BP42" s="31"/>
      <c r="BQ42" s="31"/>
    </row>
    <row r="43" spans="2:69" s="149" customFormat="1" ht="11.1" customHeight="1" x14ac:dyDescent="0.2">
      <c r="B43" s="419"/>
      <c r="C43" s="97">
        <v>40118</v>
      </c>
      <c r="D43" s="98">
        <v>396.65</v>
      </c>
      <c r="E43" s="98">
        <f t="shared" si="23"/>
        <v>415.35879661591053</v>
      </c>
      <c r="F43" s="99">
        <f t="shared" si="22"/>
        <v>-4.765188915244258E-3</v>
      </c>
      <c r="H43" s="64"/>
      <c r="I43" s="69">
        <f>I42</f>
        <v>23.483921301110762</v>
      </c>
      <c r="K43" s="42"/>
      <c r="L43" s="52">
        <f>L42</f>
        <v>33.576105032902497</v>
      </c>
      <c r="N43" s="64"/>
      <c r="O43" s="69">
        <f>O42</f>
        <v>7144206.5479583703</v>
      </c>
      <c r="P43" s="31"/>
      <c r="Q43" s="42"/>
      <c r="R43" s="52">
        <f>R42</f>
        <v>8450584.0944007859</v>
      </c>
      <c r="Z43" s="232"/>
      <c r="AA43" s="232"/>
      <c r="AB43" s="232"/>
      <c r="AC43" s="232"/>
      <c r="AD43" s="232"/>
      <c r="AF43" s="64"/>
      <c r="AG43" s="69">
        <f>AG42</f>
        <v>119.73219702511106</v>
      </c>
      <c r="AH43" s="31"/>
      <c r="AI43" s="42"/>
      <c r="AJ43" s="52">
        <f>AJ42</f>
        <v>30941099.722864009</v>
      </c>
      <c r="AL43" s="136">
        <f t="shared" si="18"/>
        <v>59.003563342438426</v>
      </c>
      <c r="AM43" s="137">
        <f t="shared" si="19"/>
        <v>173.17839530871356</v>
      </c>
      <c r="AO43" s="160"/>
      <c r="AP43" s="161">
        <f>+AP42</f>
        <v>130.62749796662351</v>
      </c>
      <c r="AQ43" s="162"/>
      <c r="AS43" s="31"/>
      <c r="AT43" s="31"/>
      <c r="AY43" s="31"/>
      <c r="AZ43" s="31"/>
      <c r="BB43" s="31"/>
      <c r="BC43" s="31"/>
      <c r="BE43" s="31"/>
      <c r="BF43" s="31"/>
      <c r="BH43" s="31"/>
      <c r="BI43" s="31"/>
      <c r="BK43" s="31"/>
      <c r="BL43" s="31"/>
      <c r="BM43" s="31"/>
      <c r="BO43" s="31"/>
      <c r="BP43" s="31"/>
      <c r="BQ43" s="31"/>
    </row>
    <row r="44" spans="2:69" s="149" customFormat="1" ht="11.1" customHeight="1" thickBot="1" x14ac:dyDescent="0.25">
      <c r="B44" s="420"/>
      <c r="C44" s="100">
        <v>40148</v>
      </c>
      <c r="D44" s="106">
        <v>401.43662682481545</v>
      </c>
      <c r="E44" s="106">
        <f t="shared" si="23"/>
        <v>413.65664322190952</v>
      </c>
      <c r="F44" s="107">
        <f t="shared" si="22"/>
        <v>-4.0980314077109252E-3</v>
      </c>
      <c r="H44" s="71"/>
      <c r="I44" s="72">
        <f>I43</f>
        <v>23.483921301110762</v>
      </c>
      <c r="K44" s="59"/>
      <c r="L44" s="54">
        <f>L43</f>
        <v>33.576105032902497</v>
      </c>
      <c r="N44" s="85"/>
      <c r="O44" s="72">
        <f>O43</f>
        <v>7144206.5479583703</v>
      </c>
      <c r="P44" s="31"/>
      <c r="Q44" s="53"/>
      <c r="R44" s="54">
        <f>R43</f>
        <v>8450584.0944007859</v>
      </c>
      <c r="Z44" s="232"/>
      <c r="AA44" s="232"/>
      <c r="AB44" s="232"/>
      <c r="AC44" s="232"/>
      <c r="AD44" s="232"/>
      <c r="AF44" s="71"/>
      <c r="AG44" s="72">
        <f>AG43</f>
        <v>119.73219702511106</v>
      </c>
      <c r="AH44" s="31"/>
      <c r="AI44" s="53"/>
      <c r="AJ44" s="54">
        <f>AJ43</f>
        <v>30941099.722864009</v>
      </c>
      <c r="AL44" s="139">
        <f t="shared" si="18"/>
        <v>58.722400216439127</v>
      </c>
      <c r="AM44" s="133">
        <f t="shared" si="19"/>
        <v>172.3531675390287</v>
      </c>
      <c r="AO44" s="87"/>
      <c r="AP44" s="155">
        <f>+AP43</f>
        <v>130.62749796662351</v>
      </c>
      <c r="AQ44" s="156"/>
      <c r="AS44" s="31"/>
      <c r="AT44" s="31"/>
      <c r="AY44" s="31"/>
      <c r="AZ44" s="31"/>
      <c r="BB44" s="31"/>
      <c r="BC44" s="31"/>
      <c r="BE44" s="31"/>
      <c r="BF44" s="31"/>
      <c r="BH44" s="31"/>
      <c r="BI44" s="31"/>
      <c r="BK44" s="31"/>
      <c r="BL44" s="31"/>
      <c r="BM44" s="31"/>
      <c r="BO44" s="31"/>
      <c r="BP44" s="31"/>
      <c r="BQ44" s="31"/>
    </row>
    <row r="45" spans="2:69" s="149" customFormat="1" ht="11.1" customHeight="1" x14ac:dyDescent="0.2">
      <c r="B45" s="418">
        <v>2010</v>
      </c>
      <c r="C45" s="94">
        <v>40179</v>
      </c>
      <c r="D45" s="103">
        <v>402.79470392458342</v>
      </c>
      <c r="E45" s="103">
        <f t="shared" si="23"/>
        <v>412.87256845861157</v>
      </c>
      <c r="F45" s="105">
        <f t="shared" si="22"/>
        <v>-1.8954724314129486E-3</v>
      </c>
      <c r="G45" s="206"/>
      <c r="H45" s="62"/>
      <c r="I45" s="73">
        <f>(1+((E44-E14)/E14))*H20*0.98</f>
        <v>25.172565069836395</v>
      </c>
      <c r="K45" s="40"/>
      <c r="L45" s="57">
        <f>(1+((E44-E14)/E14))*K20*0.98</f>
        <v>35.990441199972103</v>
      </c>
      <c r="M45" s="206"/>
      <c r="N45" s="62"/>
      <c r="O45" s="86">
        <f>(1+((E44-E14)/E14))*N20*0.98</f>
        <v>7657920.5787206916</v>
      </c>
      <c r="P45" s="37"/>
      <c r="Q45" s="40"/>
      <c r="R45" s="55">
        <f>(1+((E44-E14)/E14))*Q20*0.98</f>
        <v>9058235.0054275952</v>
      </c>
      <c r="S45" s="206"/>
      <c r="T45" s="206"/>
      <c r="U45" s="206"/>
      <c r="V45" s="206"/>
      <c r="W45" s="206"/>
      <c r="X45" s="206"/>
      <c r="Z45" s="232"/>
      <c r="AA45" s="232"/>
      <c r="AB45" s="232"/>
      <c r="AC45" s="232"/>
      <c r="AD45" s="232"/>
      <c r="AF45" s="229">
        <v>103.38</v>
      </c>
      <c r="AG45" s="73">
        <f>AF45</f>
        <v>103.38</v>
      </c>
      <c r="AH45" s="37"/>
      <c r="AI45" s="231">
        <v>34595229</v>
      </c>
      <c r="AJ45" s="257">
        <f>AI45</f>
        <v>34595229</v>
      </c>
      <c r="AL45" s="140">
        <f>+AL44*(1+F44)*0.98</f>
        <v>57.312118896495669</v>
      </c>
      <c r="AM45" s="141">
        <f>AM44*(1+F44)*0.98</f>
        <v>168.21392166833058</v>
      </c>
      <c r="AO45" s="166"/>
      <c r="AP45" s="158">
        <f>(1+((E44-E14)/E14))*AO20*0.98</f>
        <v>140.02044847251392</v>
      </c>
      <c r="AQ45" s="159"/>
      <c r="AS45" s="31"/>
      <c r="AT45" s="31"/>
      <c r="AY45" s="31"/>
      <c r="AZ45" s="31"/>
      <c r="BB45" s="31"/>
      <c r="BC45" s="31"/>
      <c r="BE45" s="31"/>
      <c r="BF45" s="31"/>
      <c r="BH45" s="31"/>
      <c r="BI45" s="31"/>
      <c r="BK45" s="31"/>
      <c r="BL45" s="31"/>
      <c r="BM45" s="31"/>
      <c r="BO45" s="31"/>
      <c r="BP45" s="31"/>
      <c r="BQ45" s="31"/>
    </row>
    <row r="46" spans="2:69" s="149" customFormat="1" ht="11.1" customHeight="1" x14ac:dyDescent="0.2">
      <c r="B46" s="419"/>
      <c r="C46" s="97">
        <v>40210</v>
      </c>
      <c r="D46" s="98">
        <v>402.22859719182458</v>
      </c>
      <c r="E46" s="111">
        <f t="shared" si="23"/>
        <v>410.61652300379041</v>
      </c>
      <c r="F46" s="108">
        <f t="shared" si="22"/>
        <v>-5.4642657981461892E-3</v>
      </c>
      <c r="H46" s="64"/>
      <c r="I46" s="69">
        <f>+I45</f>
        <v>25.172565069836395</v>
      </c>
      <c r="K46" s="42"/>
      <c r="L46" s="52">
        <f>+L45</f>
        <v>35.990441199972103</v>
      </c>
      <c r="N46" s="64"/>
      <c r="O46" s="69">
        <f>+O45</f>
        <v>7657920.5787206916</v>
      </c>
      <c r="P46" s="31"/>
      <c r="Q46" s="42"/>
      <c r="R46" s="52">
        <f>+R45</f>
        <v>9058235.0054275952</v>
      </c>
      <c r="Z46" s="232"/>
      <c r="AA46" s="232"/>
      <c r="AB46" s="232"/>
      <c r="AC46" s="232"/>
      <c r="AD46" s="232"/>
      <c r="AF46" s="64"/>
      <c r="AG46" s="69">
        <f>+AG45</f>
        <v>103.38</v>
      </c>
      <c r="AH46" s="31"/>
      <c r="AI46" s="42"/>
      <c r="AJ46" s="52">
        <f>+AJ45</f>
        <v>34595229</v>
      </c>
      <c r="AL46" s="136">
        <f t="shared" ref="AL46:AL56" si="24">+AL45*(1+F45)</f>
        <v>57.203485355141495</v>
      </c>
      <c r="AM46" s="137">
        <f t="shared" ref="AM46:AM56" si="25">AM45*(1+F45)</f>
        <v>167.89507681722841</v>
      </c>
      <c r="AO46" s="160"/>
      <c r="AP46" s="161">
        <f>+AP45</f>
        <v>140.02044847251392</v>
      </c>
      <c r="AQ46" s="162"/>
      <c r="AS46" s="31"/>
      <c r="AT46" s="31"/>
      <c r="AY46" s="31"/>
      <c r="AZ46" s="31"/>
      <c r="BB46" s="31"/>
      <c r="BC46" s="31"/>
      <c r="BE46" s="31"/>
      <c r="BF46" s="31"/>
      <c r="BH46" s="31"/>
      <c r="BI46" s="31"/>
      <c r="BK46" s="31"/>
      <c r="BL46" s="31"/>
      <c r="BM46" s="31"/>
      <c r="BO46" s="31"/>
      <c r="BP46" s="31"/>
      <c r="BQ46" s="31"/>
    </row>
    <row r="47" spans="2:69" s="149" customFormat="1" ht="11.1" customHeight="1" x14ac:dyDescent="0.2">
      <c r="B47" s="419"/>
      <c r="C47" s="97">
        <v>40238</v>
      </c>
      <c r="D47" s="98">
        <v>400.52271104714237</v>
      </c>
      <c r="E47" s="111">
        <f t="shared" si="23"/>
        <v>407.34825746777216</v>
      </c>
      <c r="F47" s="108">
        <f t="shared" si="22"/>
        <v>-7.9594106737591718E-3</v>
      </c>
      <c r="H47" s="64"/>
      <c r="I47" s="69">
        <f t="shared" ref="I47:I56" si="26">+I46</f>
        <v>25.172565069836395</v>
      </c>
      <c r="K47" s="42"/>
      <c r="L47" s="52">
        <f t="shared" ref="L47:L56" si="27">+L46</f>
        <v>35.990441199972103</v>
      </c>
      <c r="N47" s="64"/>
      <c r="O47" s="69">
        <f t="shared" ref="O47:O56" si="28">+O46</f>
        <v>7657920.5787206916</v>
      </c>
      <c r="P47" s="31"/>
      <c r="Q47" s="42"/>
      <c r="R47" s="52">
        <f t="shared" ref="R47:R56" si="29">+R46</f>
        <v>9058235.0054275952</v>
      </c>
      <c r="Z47" s="232"/>
      <c r="AA47" s="232"/>
      <c r="AB47" s="232"/>
      <c r="AC47" s="232"/>
      <c r="AD47" s="232"/>
      <c r="AF47" s="64"/>
      <c r="AG47" s="69">
        <f>+AG45</f>
        <v>103.38</v>
      </c>
      <c r="AH47" s="31"/>
      <c r="AI47" s="42"/>
      <c r="AJ47" s="52">
        <f>+AJ45</f>
        <v>34595229</v>
      </c>
      <c r="AL47" s="136">
        <f t="shared" si="24"/>
        <v>56.890910306580636</v>
      </c>
      <c r="AM47" s="137">
        <f t="shared" si="25"/>
        <v>166.9776534912989</v>
      </c>
      <c r="AO47" s="160"/>
      <c r="AP47" s="161">
        <f t="shared" ref="AP47:AP56" si="30">+AP46</f>
        <v>140.02044847251392</v>
      </c>
      <c r="AQ47" s="162"/>
      <c r="AS47" s="31"/>
      <c r="AT47" s="31"/>
      <c r="AY47" s="31"/>
      <c r="AZ47" s="31"/>
      <c r="BB47" s="31"/>
      <c r="BC47" s="31"/>
      <c r="BE47" s="31"/>
      <c r="BF47" s="31"/>
      <c r="BH47" s="31"/>
      <c r="BI47" s="31"/>
      <c r="BK47" s="31"/>
      <c r="BL47" s="31"/>
      <c r="BM47" s="31"/>
      <c r="BO47" s="31"/>
      <c r="BP47" s="31"/>
      <c r="BQ47" s="31"/>
    </row>
    <row r="48" spans="2:69" s="149" customFormat="1" ht="11.1" customHeight="1" x14ac:dyDescent="0.2">
      <c r="B48" s="419"/>
      <c r="C48" s="97">
        <v>40269</v>
      </c>
      <c r="D48" s="98">
        <v>406.57575260824581</v>
      </c>
      <c r="E48" s="111">
        <f t="shared" si="23"/>
        <v>403.87115241675127</v>
      </c>
      <c r="F48" s="108">
        <f t="shared" si="22"/>
        <v>-8.535951700483168E-3</v>
      </c>
      <c r="H48" s="64"/>
      <c r="I48" s="69">
        <f t="shared" si="26"/>
        <v>25.172565069836395</v>
      </c>
      <c r="K48" s="42"/>
      <c r="L48" s="52">
        <f t="shared" si="27"/>
        <v>35.990441199972103</v>
      </c>
      <c r="N48" s="64"/>
      <c r="O48" s="69">
        <f t="shared" si="28"/>
        <v>7657920.5787206916</v>
      </c>
      <c r="P48" s="31"/>
      <c r="Q48" s="42"/>
      <c r="R48" s="52">
        <f t="shared" si="29"/>
        <v>9058235.0054275952</v>
      </c>
      <c r="Z48" s="232"/>
      <c r="AA48" s="232"/>
      <c r="AB48" s="232"/>
      <c r="AC48" s="232"/>
      <c r="AD48" s="232"/>
      <c r="AF48" s="64"/>
      <c r="AG48" s="69">
        <f>+AG45</f>
        <v>103.38</v>
      </c>
      <c r="AH48" s="31"/>
      <c r="AI48" s="42"/>
      <c r="AJ48" s="52">
        <f>+AJ45</f>
        <v>34595229</v>
      </c>
      <c r="AL48" s="136">
        <f t="shared" si="24"/>
        <v>56.438092187846564</v>
      </c>
      <c r="AM48" s="137">
        <f t="shared" si="25"/>
        <v>165.64860977382099</v>
      </c>
      <c r="AO48" s="160"/>
      <c r="AP48" s="161">
        <f t="shared" si="30"/>
        <v>140.02044847251392</v>
      </c>
      <c r="AQ48" s="162"/>
      <c r="AS48" s="31"/>
      <c r="AT48" s="31"/>
      <c r="AY48" s="31"/>
      <c r="AZ48" s="31"/>
      <c r="BB48" s="31"/>
      <c r="BC48" s="31"/>
      <c r="BE48" s="31"/>
      <c r="BF48" s="31"/>
      <c r="BH48" s="31"/>
      <c r="BI48" s="31"/>
      <c r="BK48" s="31"/>
      <c r="BL48" s="31"/>
      <c r="BM48" s="31"/>
      <c r="BO48" s="31"/>
      <c r="BP48" s="31"/>
      <c r="BQ48" s="31"/>
    </row>
    <row r="49" spans="2:69" s="149" customFormat="1" ht="11.1" customHeight="1" x14ac:dyDescent="0.2">
      <c r="B49" s="419"/>
      <c r="C49" s="97">
        <v>40299</v>
      </c>
      <c r="D49" s="98">
        <v>407.39018356560103</v>
      </c>
      <c r="E49" s="111">
        <f t="shared" si="23"/>
        <v>402.43278573188786</v>
      </c>
      <c r="F49" s="108">
        <f t="shared" si="22"/>
        <v>-3.5614494282552077E-3</v>
      </c>
      <c r="H49" s="64"/>
      <c r="I49" s="69">
        <f t="shared" si="26"/>
        <v>25.172565069836395</v>
      </c>
      <c r="K49" s="42"/>
      <c r="L49" s="52">
        <f t="shared" si="27"/>
        <v>35.990441199972103</v>
      </c>
      <c r="N49" s="64"/>
      <c r="O49" s="69">
        <f t="shared" si="28"/>
        <v>7657920.5787206916</v>
      </c>
      <c r="P49" s="31"/>
      <c r="Q49" s="42"/>
      <c r="R49" s="52">
        <f t="shared" si="29"/>
        <v>9058235.0054275952</v>
      </c>
      <c r="Z49" s="232"/>
      <c r="AA49" s="232"/>
      <c r="AB49" s="232"/>
      <c r="AC49" s="232"/>
      <c r="AD49" s="232"/>
      <c r="AF49" s="64"/>
      <c r="AG49" s="69">
        <f>+AG45</f>
        <v>103.38</v>
      </c>
      <c r="AH49" s="31"/>
      <c r="AI49" s="42"/>
      <c r="AJ49" s="52">
        <f>+AJ45</f>
        <v>34595229</v>
      </c>
      <c r="AL49" s="136">
        <f t="shared" si="24"/>
        <v>55.956339358863687</v>
      </c>
      <c r="AM49" s="137">
        <f t="shared" si="25"/>
        <v>164.23464124153946</v>
      </c>
      <c r="AO49" s="160"/>
      <c r="AP49" s="161">
        <f t="shared" si="30"/>
        <v>140.02044847251392</v>
      </c>
      <c r="AQ49" s="162"/>
      <c r="AS49" s="31"/>
      <c r="AT49" s="31"/>
      <c r="AY49" s="31"/>
      <c r="AZ49" s="31"/>
      <c r="BB49" s="31"/>
      <c r="BC49" s="31"/>
      <c r="BE49" s="31"/>
      <c r="BF49" s="31"/>
      <c r="BH49" s="31"/>
      <c r="BI49" s="31"/>
      <c r="BK49" s="31"/>
      <c r="BL49" s="31"/>
      <c r="BM49" s="31"/>
      <c r="BO49" s="31"/>
      <c r="BP49" s="31"/>
      <c r="BQ49" s="31"/>
    </row>
    <row r="50" spans="2:69" s="149" customFormat="1" ht="11.1" customHeight="1" x14ac:dyDescent="0.2">
      <c r="B50" s="419"/>
      <c r="C50" s="97">
        <v>40330</v>
      </c>
      <c r="D50" s="98">
        <v>403.32210852343519</v>
      </c>
      <c r="E50" s="111">
        <f t="shared" si="23"/>
        <v>402.01726162909864</v>
      </c>
      <c r="F50" s="108">
        <f t="shared" si="22"/>
        <v>-1.0325304436454494E-3</v>
      </c>
      <c r="H50" s="64"/>
      <c r="I50" s="69">
        <f t="shared" si="26"/>
        <v>25.172565069836395</v>
      </c>
      <c r="K50" s="42"/>
      <c r="L50" s="52">
        <f t="shared" si="27"/>
        <v>35.990441199972103</v>
      </c>
      <c r="N50" s="64"/>
      <c r="O50" s="69">
        <f t="shared" si="28"/>
        <v>7657920.5787206916</v>
      </c>
      <c r="P50" s="31"/>
      <c r="Q50" s="42"/>
      <c r="R50" s="52">
        <f t="shared" si="29"/>
        <v>9058235.0054275952</v>
      </c>
      <c r="Z50" s="232"/>
      <c r="AA50" s="232"/>
      <c r="AB50" s="232"/>
      <c r="AC50" s="232"/>
      <c r="AD50" s="232"/>
      <c r="AF50" s="64"/>
      <c r="AG50" s="69">
        <f>+AG45</f>
        <v>103.38</v>
      </c>
      <c r="AH50" s="31"/>
      <c r="AI50" s="42"/>
      <c r="AJ50" s="52">
        <f>+AJ45</f>
        <v>34595229</v>
      </c>
      <c r="AL50" s="136">
        <f t="shared" si="24"/>
        <v>55.75705368604681</v>
      </c>
      <c r="AM50" s="137">
        <f t="shared" si="25"/>
        <v>163.64972787239009</v>
      </c>
      <c r="AO50" s="160"/>
      <c r="AP50" s="161">
        <f t="shared" si="30"/>
        <v>140.02044847251392</v>
      </c>
      <c r="AQ50" s="162"/>
      <c r="AS50" s="31"/>
      <c r="AT50" s="31"/>
      <c r="AY50" s="31"/>
      <c r="AZ50" s="31"/>
      <c r="BB50" s="31"/>
      <c r="BC50" s="31"/>
      <c r="BE50" s="31"/>
      <c r="BF50" s="31"/>
      <c r="BH50" s="31"/>
      <c r="BI50" s="31"/>
      <c r="BK50" s="31"/>
      <c r="BL50" s="31"/>
      <c r="BM50" s="31"/>
      <c r="BO50" s="31"/>
      <c r="BP50" s="31"/>
      <c r="BQ50" s="31"/>
    </row>
    <row r="51" spans="2:69" s="149" customFormat="1" ht="11.1" customHeight="1" x14ac:dyDescent="0.2">
      <c r="B51" s="419"/>
      <c r="C51" s="97">
        <v>40360</v>
      </c>
      <c r="D51" s="98">
        <v>396.58684479206721</v>
      </c>
      <c r="E51" s="111">
        <f t="shared" si="23"/>
        <v>401.25490630571761</v>
      </c>
      <c r="F51" s="108">
        <f t="shared" si="22"/>
        <v>-1.8963248500617352E-3</v>
      </c>
      <c r="H51" s="64"/>
      <c r="I51" s="69">
        <f t="shared" si="26"/>
        <v>25.172565069836395</v>
      </c>
      <c r="K51" s="42"/>
      <c r="L51" s="52">
        <f t="shared" si="27"/>
        <v>35.990441199972103</v>
      </c>
      <c r="N51" s="64"/>
      <c r="O51" s="69">
        <f t="shared" si="28"/>
        <v>7657920.5787206916</v>
      </c>
      <c r="P51" s="31"/>
      <c r="Q51" s="42"/>
      <c r="R51" s="52">
        <f t="shared" si="29"/>
        <v>9058235.0054275952</v>
      </c>
      <c r="Z51" s="232"/>
      <c r="AA51" s="232"/>
      <c r="AB51" s="232"/>
      <c r="AC51" s="232"/>
      <c r="AD51" s="232"/>
      <c r="AF51" s="64"/>
      <c r="AG51" s="69">
        <f>+AG45</f>
        <v>103.38</v>
      </c>
      <c r="AH51" s="31"/>
      <c r="AI51" s="42"/>
      <c r="AJ51" s="52">
        <f>+AJ45</f>
        <v>34595229</v>
      </c>
      <c r="AL51" s="136">
        <f t="shared" si="24"/>
        <v>55.699482830667989</v>
      </c>
      <c r="AM51" s="137">
        <f t="shared" si="25"/>
        <v>163.48075454626755</v>
      </c>
      <c r="AO51" s="160"/>
      <c r="AP51" s="161">
        <f t="shared" si="30"/>
        <v>140.02044847251392</v>
      </c>
      <c r="AQ51" s="162"/>
      <c r="AS51" s="31"/>
      <c r="AT51" s="31"/>
      <c r="AY51" s="31"/>
      <c r="AZ51" s="31"/>
      <c r="BB51" s="31"/>
      <c r="BC51" s="31"/>
      <c r="BE51" s="31"/>
      <c r="BF51" s="31"/>
      <c r="BH51" s="31"/>
      <c r="BI51" s="31"/>
      <c r="BK51" s="31"/>
      <c r="BL51" s="31"/>
      <c r="BM51" s="31"/>
      <c r="BO51" s="31"/>
      <c r="BP51" s="31"/>
      <c r="BQ51" s="31"/>
    </row>
    <row r="52" spans="2:69" s="149" customFormat="1" ht="11.1" customHeight="1" x14ac:dyDescent="0.2">
      <c r="B52" s="419"/>
      <c r="C52" s="97">
        <v>40391</v>
      </c>
      <c r="D52" s="98">
        <v>394.30438771850623</v>
      </c>
      <c r="E52" s="111">
        <f t="shared" si="23"/>
        <v>400.66227385575161</v>
      </c>
      <c r="F52" s="108">
        <f t="shared" si="22"/>
        <v>-1.4769475479372088E-3</v>
      </c>
      <c r="H52" s="64"/>
      <c r="I52" s="69">
        <f t="shared" si="26"/>
        <v>25.172565069836395</v>
      </c>
      <c r="K52" s="42"/>
      <c r="L52" s="52">
        <f t="shared" si="27"/>
        <v>35.990441199972103</v>
      </c>
      <c r="N52" s="64"/>
      <c r="O52" s="69">
        <f t="shared" si="28"/>
        <v>7657920.5787206916</v>
      </c>
      <c r="P52" s="31"/>
      <c r="Q52" s="42"/>
      <c r="R52" s="52">
        <f t="shared" si="29"/>
        <v>9058235.0054275952</v>
      </c>
      <c r="Z52" s="232"/>
      <c r="AA52" s="232"/>
      <c r="AB52" s="232"/>
      <c r="AC52" s="232"/>
      <c r="AD52" s="232"/>
      <c r="AF52" s="64"/>
      <c r="AG52" s="69">
        <f>+AG45</f>
        <v>103.38</v>
      </c>
      <c r="AH52" s="31"/>
      <c r="AI52" s="42"/>
      <c r="AJ52" s="52">
        <f>+AJ45</f>
        <v>34595229</v>
      </c>
      <c r="AL52" s="142">
        <f t="shared" si="24"/>
        <v>55.593858517240605</v>
      </c>
      <c r="AM52" s="143">
        <f t="shared" si="25"/>
        <v>163.17074192891462</v>
      </c>
      <c r="AO52" s="160"/>
      <c r="AP52" s="161">
        <f t="shared" si="30"/>
        <v>140.02044847251392</v>
      </c>
      <c r="AQ52" s="162"/>
      <c r="AS52" s="31"/>
      <c r="AT52" s="31"/>
      <c r="AY52" s="31"/>
      <c r="AZ52" s="31"/>
      <c r="BB52" s="31"/>
      <c r="BC52" s="31"/>
      <c r="BE52" s="31"/>
      <c r="BF52" s="31"/>
      <c r="BH52" s="31"/>
      <c r="BI52" s="31"/>
      <c r="BK52" s="31"/>
      <c r="BL52" s="31"/>
      <c r="BM52" s="31"/>
      <c r="BO52" s="31"/>
      <c r="BP52" s="31"/>
      <c r="BQ52" s="31"/>
    </row>
    <row r="53" spans="2:69" s="149" customFormat="1" ht="11.1" customHeight="1" x14ac:dyDescent="0.2">
      <c r="B53" s="419"/>
      <c r="C53" s="97">
        <v>40422</v>
      </c>
      <c r="D53" s="98">
        <v>391.61683105576617</v>
      </c>
      <c r="E53" s="111">
        <f t="shared" si="23"/>
        <v>400.01769476611685</v>
      </c>
      <c r="F53" s="108">
        <f t="shared" si="22"/>
        <v>-1.6087840849893064E-3</v>
      </c>
      <c r="H53" s="64"/>
      <c r="I53" s="69">
        <f t="shared" si="26"/>
        <v>25.172565069836395</v>
      </c>
      <c r="K53" s="42"/>
      <c r="L53" s="52">
        <f t="shared" si="27"/>
        <v>35.990441199972103</v>
      </c>
      <c r="N53" s="64"/>
      <c r="O53" s="69">
        <f t="shared" si="28"/>
        <v>7657920.5787206916</v>
      </c>
      <c r="P53" s="31"/>
      <c r="Q53" s="42"/>
      <c r="R53" s="52">
        <f t="shared" si="29"/>
        <v>9058235.0054275952</v>
      </c>
      <c r="Z53" s="232"/>
      <c r="AA53" s="232"/>
      <c r="AB53" s="232"/>
      <c r="AC53" s="232"/>
      <c r="AD53" s="232"/>
      <c r="AF53" s="64"/>
      <c r="AG53" s="69">
        <f>+AG45</f>
        <v>103.38</v>
      </c>
      <c r="AH53" s="31"/>
      <c r="AI53" s="42"/>
      <c r="AJ53" s="52">
        <f>+AJ45</f>
        <v>34595229</v>
      </c>
      <c r="AL53" s="142">
        <f t="shared" si="24"/>
        <v>55.511749304223194</v>
      </c>
      <c r="AM53" s="143">
        <f t="shared" si="25"/>
        <v>162.92974730172762</v>
      </c>
      <c r="AO53" s="160"/>
      <c r="AP53" s="161">
        <f t="shared" si="30"/>
        <v>140.02044847251392</v>
      </c>
      <c r="AQ53" s="162"/>
      <c r="AS53" s="31"/>
      <c r="AT53" s="31"/>
      <c r="AY53" s="31"/>
      <c r="AZ53" s="31"/>
      <c r="BB53" s="31"/>
      <c r="BC53" s="31"/>
      <c r="BE53" s="31"/>
      <c r="BF53" s="31"/>
      <c r="BH53" s="31"/>
      <c r="BI53" s="31"/>
      <c r="BK53" s="31"/>
      <c r="BL53" s="31"/>
      <c r="BM53" s="31"/>
      <c r="BO53" s="31"/>
      <c r="BP53" s="31"/>
      <c r="BQ53" s="31"/>
    </row>
    <row r="54" spans="2:69" s="149" customFormat="1" ht="11.1" customHeight="1" x14ac:dyDescent="0.2">
      <c r="B54" s="419"/>
      <c r="C54" s="97">
        <v>40452</v>
      </c>
      <c r="D54" s="98">
        <v>393.77861836235695</v>
      </c>
      <c r="E54" s="111">
        <f t="shared" si="23"/>
        <v>399.95836825874289</v>
      </c>
      <c r="F54" s="108">
        <f t="shared" si="22"/>
        <v>-1.4830970767090742E-4</v>
      </c>
      <c r="H54" s="64"/>
      <c r="I54" s="69">
        <f t="shared" si="26"/>
        <v>25.172565069836395</v>
      </c>
      <c r="K54" s="42"/>
      <c r="L54" s="52">
        <f t="shared" si="27"/>
        <v>35.990441199972103</v>
      </c>
      <c r="N54" s="64"/>
      <c r="O54" s="69">
        <f t="shared" si="28"/>
        <v>7657920.5787206916</v>
      </c>
      <c r="P54" s="31"/>
      <c r="Q54" s="42"/>
      <c r="R54" s="52">
        <f t="shared" si="29"/>
        <v>9058235.0054275952</v>
      </c>
      <c r="Z54" s="232"/>
      <c r="AA54" s="232"/>
      <c r="AB54" s="232"/>
      <c r="AC54" s="232"/>
      <c r="AD54" s="232"/>
      <c r="AF54" s="64"/>
      <c r="AG54" s="69">
        <f>+AG45</f>
        <v>103.38</v>
      </c>
      <c r="AH54" s="31"/>
      <c r="AI54" s="42"/>
      <c r="AJ54" s="52">
        <f>+AJ45</f>
        <v>34595229</v>
      </c>
      <c r="AL54" s="142">
        <f t="shared" si="24"/>
        <v>55.422442885412643</v>
      </c>
      <c r="AM54" s="143">
        <f t="shared" si="25"/>
        <v>162.66762851729726</v>
      </c>
      <c r="AO54" s="160"/>
      <c r="AP54" s="161">
        <f t="shared" si="30"/>
        <v>140.02044847251392</v>
      </c>
      <c r="AQ54" s="162"/>
      <c r="AS54" s="31"/>
      <c r="AT54" s="31"/>
      <c r="AY54" s="31"/>
      <c r="AZ54" s="31"/>
      <c r="BB54" s="31"/>
      <c r="BC54" s="31"/>
      <c r="BE54" s="31"/>
      <c r="BF54" s="31"/>
      <c r="BH54" s="31"/>
      <c r="BI54" s="31"/>
      <c r="BK54" s="31"/>
      <c r="BL54" s="31"/>
      <c r="BM54" s="31"/>
      <c r="BO54" s="31"/>
      <c r="BP54" s="31"/>
      <c r="BQ54" s="31"/>
    </row>
    <row r="55" spans="2:69" s="149" customFormat="1" ht="11.1" customHeight="1" x14ac:dyDescent="0.2">
      <c r="B55" s="419"/>
      <c r="C55" s="97">
        <v>40483</v>
      </c>
      <c r="D55" s="98">
        <v>396.84834347366433</v>
      </c>
      <c r="E55" s="111">
        <f t="shared" si="23"/>
        <v>399.76728046786201</v>
      </c>
      <c r="F55" s="108">
        <f t="shared" si="22"/>
        <v>-4.777692031118256E-4</v>
      </c>
      <c r="H55" s="64"/>
      <c r="I55" s="69">
        <f t="shared" si="26"/>
        <v>25.172565069836395</v>
      </c>
      <c r="K55" s="42"/>
      <c r="L55" s="52">
        <f t="shared" si="27"/>
        <v>35.990441199972103</v>
      </c>
      <c r="N55" s="64"/>
      <c r="O55" s="69">
        <f t="shared" si="28"/>
        <v>7657920.5787206916</v>
      </c>
      <c r="P55" s="31"/>
      <c r="Q55" s="42"/>
      <c r="R55" s="52">
        <f t="shared" si="29"/>
        <v>9058235.0054275952</v>
      </c>
      <c r="Z55" s="232"/>
      <c r="AA55" s="232"/>
      <c r="AB55" s="232"/>
      <c r="AC55" s="232"/>
      <c r="AD55" s="232"/>
      <c r="AF55" s="64"/>
      <c r="AG55" s="69">
        <f>+AG45</f>
        <v>103.38</v>
      </c>
      <c r="AH55" s="31"/>
      <c r="AI55" s="42"/>
      <c r="AJ55" s="52">
        <f>+AJ45</f>
        <v>34595229</v>
      </c>
      <c r="AL55" s="142">
        <f t="shared" si="24"/>
        <v>55.414223199109898</v>
      </c>
      <c r="AM55" s="143">
        <f t="shared" si="25"/>
        <v>162.64350332886434</v>
      </c>
      <c r="AO55" s="160"/>
      <c r="AP55" s="161">
        <f t="shared" si="30"/>
        <v>140.02044847251392</v>
      </c>
      <c r="AQ55" s="162"/>
      <c r="AS55" s="31"/>
      <c r="AT55" s="31"/>
      <c r="AY55" s="31"/>
      <c r="AZ55" s="31"/>
      <c r="BB55" s="31"/>
      <c r="BC55" s="31"/>
      <c r="BE55" s="31"/>
      <c r="BF55" s="31"/>
      <c r="BH55" s="31"/>
      <c r="BI55" s="31"/>
      <c r="BK55" s="31"/>
      <c r="BL55" s="31"/>
      <c r="BM55" s="31"/>
      <c r="BO55" s="31"/>
      <c r="BP55" s="31"/>
      <c r="BQ55" s="31"/>
    </row>
    <row r="56" spans="2:69" s="149" customFormat="1" ht="11.1" customHeight="1" thickBot="1" x14ac:dyDescent="0.25">
      <c r="B56" s="420"/>
      <c r="C56" s="100">
        <v>40513</v>
      </c>
      <c r="D56" s="106">
        <v>398.71976136337753</v>
      </c>
      <c r="E56" s="106">
        <f t="shared" si="23"/>
        <v>399.78380909066738</v>
      </c>
      <c r="F56" s="107">
        <f t="shared" si="22"/>
        <v>4.1345611842028029E-5</v>
      </c>
      <c r="G56" s="206"/>
      <c r="H56" s="74"/>
      <c r="I56" s="67">
        <f t="shared" si="26"/>
        <v>25.172565069836395</v>
      </c>
      <c r="K56" s="38"/>
      <c r="L56" s="56">
        <f t="shared" si="27"/>
        <v>35.990441199972103</v>
      </c>
      <c r="N56" s="60"/>
      <c r="O56" s="67">
        <f t="shared" si="28"/>
        <v>7657920.5787206916</v>
      </c>
      <c r="P56" s="31"/>
      <c r="Q56" s="38"/>
      <c r="R56" s="56">
        <f t="shared" si="29"/>
        <v>9058235.0054275952</v>
      </c>
      <c r="T56" s="206"/>
      <c r="U56" s="206"/>
      <c r="Z56" s="232"/>
      <c r="AA56" s="232"/>
      <c r="AB56" s="232"/>
      <c r="AC56" s="232"/>
      <c r="AD56" s="232"/>
      <c r="AF56" s="60"/>
      <c r="AG56" s="67">
        <f>+AG45</f>
        <v>103.38</v>
      </c>
      <c r="AH56" s="31"/>
      <c r="AI56" s="38"/>
      <c r="AJ56" s="56">
        <f>+AJ45</f>
        <v>34595229</v>
      </c>
      <c r="AL56" s="138">
        <f t="shared" si="24"/>
        <v>55.387747989851</v>
      </c>
      <c r="AM56" s="133">
        <f t="shared" si="25"/>
        <v>162.56579727188759</v>
      </c>
      <c r="AO56" s="167"/>
      <c r="AP56" s="155">
        <f t="shared" si="30"/>
        <v>140.02044847251392</v>
      </c>
      <c r="AQ56" s="168"/>
      <c r="AS56" s="31"/>
      <c r="AT56" s="31"/>
      <c r="AY56" s="31"/>
      <c r="AZ56" s="31"/>
      <c r="BB56" s="31"/>
      <c r="BC56" s="31"/>
      <c r="BE56" s="31"/>
      <c r="BF56" s="31"/>
      <c r="BH56" s="31"/>
      <c r="BI56" s="31"/>
      <c r="BK56" s="31"/>
      <c r="BL56" s="31"/>
      <c r="BM56" s="31"/>
      <c r="BO56" s="31"/>
      <c r="BP56" s="31"/>
      <c r="BQ56" s="31"/>
    </row>
    <row r="57" spans="2:69" s="149" customFormat="1" ht="11.1" customHeight="1" x14ac:dyDescent="0.2">
      <c r="B57" s="397">
        <v>2011</v>
      </c>
      <c r="C57" s="94">
        <v>40544</v>
      </c>
      <c r="D57" s="104">
        <v>400.35864892969795</v>
      </c>
      <c r="E57" s="103">
        <f t="shared" si="23"/>
        <v>399.55740363554759</v>
      </c>
      <c r="F57" s="105">
        <f t="shared" si="22"/>
        <v>-5.6631972073797009E-4</v>
      </c>
      <c r="H57" s="62"/>
      <c r="I57" s="73">
        <f>(1+((E56-E14)/E14))*H20*0.98</f>
        <v>24.328350851126498</v>
      </c>
      <c r="K57" s="40"/>
      <c r="L57" s="57">
        <f>(1+(($E$56-$E$14)/$E$14))*K$20*0.98</f>
        <v>34.783427051260382</v>
      </c>
      <c r="N57" s="62"/>
      <c r="O57" s="73">
        <f>(1+(($E$56-$E$14)/$E$14))*N$20*0.98</f>
        <v>7401096.3170544114</v>
      </c>
      <c r="P57" s="31"/>
      <c r="Q57" s="40"/>
      <c r="R57" s="57">
        <f>(1+(($E$56-$E$14)/$E$14))*Q$20*0.98</f>
        <v>8754448.2929180693</v>
      </c>
      <c r="Z57" s="232"/>
      <c r="AA57" s="232"/>
      <c r="AB57" s="232"/>
      <c r="AC57" s="232"/>
      <c r="AD57" s="232"/>
      <c r="AF57" s="62"/>
      <c r="AG57" s="73">
        <f>(1+(($E$56-$E$45)/$E$45))*AF$45*0.98</f>
        <v>98.100625409260033</v>
      </c>
      <c r="AH57" s="31"/>
      <c r="AI57" s="40"/>
      <c r="AJ57" s="57">
        <f>(1+(($E$56-$E$45)/$E$45))*AI$45*0.98</f>
        <v>32828531.641290095</v>
      </c>
      <c r="AL57" s="144">
        <f>+AL56*(1+F56)*0.98</f>
        <v>54.282237269576591</v>
      </c>
      <c r="AM57" s="145">
        <f>AM56*(1+F56)*0.98</f>
        <v>159.32106828115556</v>
      </c>
      <c r="AO57" s="40"/>
      <c r="AP57" s="169">
        <f>(1+(($E$56-$E$14)/$E$14))*AO$20*0.98</f>
        <v>135.32457210144528</v>
      </c>
      <c r="AQ57" s="57"/>
      <c r="AS57" s="31"/>
      <c r="AT57" s="31"/>
      <c r="AY57" s="31"/>
      <c r="AZ57" s="31"/>
      <c r="BB57" s="31"/>
      <c r="BC57" s="31"/>
      <c r="BE57" s="31"/>
      <c r="BF57" s="31"/>
      <c r="BH57" s="31"/>
      <c r="BI57" s="31"/>
      <c r="BK57" s="31"/>
      <c r="BL57" s="31"/>
      <c r="BM57" s="31"/>
      <c r="BO57" s="31"/>
      <c r="BP57" s="31"/>
      <c r="BQ57" s="31"/>
    </row>
    <row r="58" spans="2:69" s="149" customFormat="1" ht="11.1" customHeight="1" x14ac:dyDescent="0.2">
      <c r="B58" s="398"/>
      <c r="C58" s="97">
        <v>40575</v>
      </c>
      <c r="D58" s="98">
        <v>404.8587401294518</v>
      </c>
      <c r="E58" s="111">
        <f t="shared" si="23"/>
        <v>399.35439905264047</v>
      </c>
      <c r="F58" s="108">
        <f t="shared" si="22"/>
        <v>-5.080736361283432E-4</v>
      </c>
      <c r="H58" s="64"/>
      <c r="I58" s="69">
        <f>$I$57</f>
        <v>24.328350851126498</v>
      </c>
      <c r="K58" s="42"/>
      <c r="L58" s="52">
        <f t="shared" ref="L58:L68" si="31">$L$57</f>
        <v>34.783427051260382</v>
      </c>
      <c r="N58" s="64"/>
      <c r="O58" s="69">
        <f t="shared" ref="O58:O68" si="32">$O$57</f>
        <v>7401096.3170544114</v>
      </c>
      <c r="P58" s="31"/>
      <c r="Q58" s="42"/>
      <c r="R58" s="52">
        <f t="shared" ref="R58:R68" si="33">$R$57</f>
        <v>8754448.2929180693</v>
      </c>
      <c r="Z58" s="232"/>
      <c r="AA58" s="232"/>
      <c r="AB58" s="232"/>
      <c r="AC58" s="232"/>
      <c r="AD58" s="232"/>
      <c r="AF58" s="64"/>
      <c r="AG58" s="69">
        <f t="shared" ref="AG58:AG68" si="34">$AG$57</f>
        <v>98.100625409260033</v>
      </c>
      <c r="AH58" s="31"/>
      <c r="AI58" s="42"/>
      <c r="AJ58" s="52">
        <f t="shared" ref="AJ58:AJ68" si="35">$AJ$57</f>
        <v>32828531.641290095</v>
      </c>
      <c r="AL58" s="139">
        <f t="shared" ref="AL58:AL68" si="36">+AL57*(1+F57)</f>
        <v>54.251496168125051</v>
      </c>
      <c r="AM58" s="69">
        <f t="shared" ref="AM58:AM68" si="37">AM57*(1+F57)</f>
        <v>159.23084161825889</v>
      </c>
      <c r="AO58" s="42"/>
      <c r="AP58" s="153">
        <f t="shared" ref="AP58:AP68" si="38">$AP$57</f>
        <v>135.32457210144528</v>
      </c>
      <c r="AQ58" s="52"/>
      <c r="AS58" s="31"/>
      <c r="AT58" s="31"/>
      <c r="AY58" s="31"/>
      <c r="AZ58" s="31"/>
      <c r="BB58" s="31"/>
      <c r="BC58" s="31"/>
      <c r="BE58" s="31"/>
      <c r="BF58" s="31"/>
      <c r="BH58" s="31"/>
      <c r="BI58" s="31"/>
      <c r="BK58" s="31"/>
      <c r="BL58" s="31"/>
      <c r="BM58" s="31"/>
      <c r="BO58" s="31"/>
      <c r="BP58" s="31"/>
      <c r="BQ58" s="31"/>
    </row>
    <row r="59" spans="2:69" s="149" customFormat="1" ht="11.1" customHeight="1" x14ac:dyDescent="0.2">
      <c r="B59" s="398"/>
      <c r="C59" s="97">
        <v>40603</v>
      </c>
      <c r="D59" s="98">
        <v>404.74776652954552</v>
      </c>
      <c r="E59" s="111">
        <f t="shared" si="23"/>
        <v>399.57357763077607</v>
      </c>
      <c r="F59" s="108">
        <f t="shared" si="22"/>
        <v>5.4883226190956941E-4</v>
      </c>
      <c r="H59" s="64"/>
      <c r="I59" s="69">
        <f t="shared" ref="I59:I68" si="39">$I$57</f>
        <v>24.328350851126498</v>
      </c>
      <c r="K59" s="42"/>
      <c r="L59" s="52">
        <f t="shared" si="31"/>
        <v>34.783427051260382</v>
      </c>
      <c r="N59" s="64"/>
      <c r="O59" s="69">
        <f t="shared" si="32"/>
        <v>7401096.3170544114</v>
      </c>
      <c r="P59" s="31"/>
      <c r="Q59" s="42"/>
      <c r="R59" s="52">
        <f t="shared" si="33"/>
        <v>8754448.2929180693</v>
      </c>
      <c r="Z59" s="232"/>
      <c r="AA59" s="232"/>
      <c r="AB59" s="232"/>
      <c r="AC59" s="232"/>
      <c r="AD59" s="232"/>
      <c r="AF59" s="64"/>
      <c r="AG59" s="69">
        <f t="shared" si="34"/>
        <v>98.100625409260033</v>
      </c>
      <c r="AH59" s="31"/>
      <c r="AI59" s="42"/>
      <c r="AJ59" s="52">
        <f t="shared" si="35"/>
        <v>32828531.641290095</v>
      </c>
      <c r="AL59" s="139">
        <f t="shared" si="36"/>
        <v>54.22393241320151</v>
      </c>
      <c r="AM59" s="69">
        <f t="shared" si="37"/>
        <v>159.14994062557412</v>
      </c>
      <c r="AO59" s="42"/>
      <c r="AP59" s="153">
        <f t="shared" si="38"/>
        <v>135.32457210144528</v>
      </c>
      <c r="AQ59" s="52"/>
      <c r="AS59" s="31"/>
      <c r="AT59" s="31"/>
      <c r="AY59" s="31"/>
      <c r="AZ59" s="31"/>
      <c r="BB59" s="31"/>
      <c r="BC59" s="31"/>
      <c r="BE59" s="31"/>
      <c r="BF59" s="31"/>
      <c r="BH59" s="31"/>
      <c r="BI59" s="31"/>
      <c r="BK59" s="31"/>
      <c r="BL59" s="31"/>
      <c r="BM59" s="31"/>
      <c r="BO59" s="31"/>
      <c r="BP59" s="31"/>
      <c r="BQ59" s="31"/>
    </row>
    <row r="60" spans="2:69" s="149" customFormat="1" ht="11.1" customHeight="1" x14ac:dyDescent="0.2">
      <c r="B60" s="398"/>
      <c r="C60" s="97">
        <v>40634</v>
      </c>
      <c r="D60" s="98">
        <v>395.75391226969748</v>
      </c>
      <c r="E60" s="111">
        <f t="shared" si="23"/>
        <v>399.92566558764298</v>
      </c>
      <c r="F60" s="108">
        <f t="shared" si="22"/>
        <v>8.8115925721258593E-4</v>
      </c>
      <c r="H60" s="64"/>
      <c r="I60" s="69">
        <f t="shared" si="39"/>
        <v>24.328350851126498</v>
      </c>
      <c r="K60" s="42"/>
      <c r="L60" s="52">
        <f t="shared" si="31"/>
        <v>34.783427051260382</v>
      </c>
      <c r="N60" s="64"/>
      <c r="O60" s="69">
        <f t="shared" si="32"/>
        <v>7401096.3170544114</v>
      </c>
      <c r="P60" s="31"/>
      <c r="Q60" s="42"/>
      <c r="R60" s="52">
        <f t="shared" si="33"/>
        <v>8754448.2929180693</v>
      </c>
      <c r="Z60" s="232"/>
      <c r="AA60" s="232"/>
      <c r="AB60" s="232"/>
      <c r="AC60" s="232"/>
      <c r="AD60" s="232"/>
      <c r="AF60" s="64"/>
      <c r="AG60" s="69">
        <f t="shared" si="34"/>
        <v>98.100625409260033</v>
      </c>
      <c r="AH60" s="31"/>
      <c r="AI60" s="42"/>
      <c r="AJ60" s="52">
        <f t="shared" si="35"/>
        <v>32828531.641290095</v>
      </c>
      <c r="AL60" s="139">
        <f t="shared" si="36"/>
        <v>54.253692256677482</v>
      </c>
      <c r="AM60" s="69">
        <f t="shared" si="37"/>
        <v>159.23728724747042</v>
      </c>
      <c r="AO60" s="42"/>
      <c r="AP60" s="153">
        <f t="shared" si="38"/>
        <v>135.32457210144528</v>
      </c>
      <c r="AQ60" s="52"/>
      <c r="AS60" s="31"/>
      <c r="AT60" s="31"/>
      <c r="AY60" s="31"/>
      <c r="AZ60" s="31"/>
      <c r="BB60" s="31"/>
      <c r="BC60" s="31"/>
      <c r="BE60" s="31"/>
      <c r="BF60" s="31"/>
      <c r="BH60" s="31"/>
      <c r="BI60" s="31"/>
      <c r="BK60" s="31"/>
      <c r="BL60" s="31"/>
      <c r="BM60" s="31"/>
      <c r="BO60" s="31"/>
      <c r="BP60" s="31"/>
      <c r="BQ60" s="31"/>
    </row>
    <row r="61" spans="2:69" s="149" customFormat="1" ht="11.1" customHeight="1" x14ac:dyDescent="0.2">
      <c r="B61" s="398"/>
      <c r="C61" s="97">
        <v>40664</v>
      </c>
      <c r="D61" s="98">
        <v>400.68736273101609</v>
      </c>
      <c r="E61" s="111">
        <f t="shared" si="23"/>
        <v>399.02384555943058</v>
      </c>
      <c r="F61" s="108">
        <f t="shared" si="22"/>
        <v>-2.2549691250429793E-3</v>
      </c>
      <c r="H61" s="64"/>
      <c r="I61" s="69">
        <f t="shared" si="39"/>
        <v>24.328350851126498</v>
      </c>
      <c r="K61" s="42"/>
      <c r="L61" s="52">
        <f t="shared" si="31"/>
        <v>34.783427051260382</v>
      </c>
      <c r="N61" s="64"/>
      <c r="O61" s="69">
        <f t="shared" si="32"/>
        <v>7401096.3170544114</v>
      </c>
      <c r="P61" s="31"/>
      <c r="Q61" s="42"/>
      <c r="R61" s="52">
        <f t="shared" si="33"/>
        <v>8754448.2929180693</v>
      </c>
      <c r="Z61" s="232"/>
      <c r="AA61" s="232"/>
      <c r="AB61" s="232"/>
      <c r="AC61" s="232"/>
      <c r="AD61" s="232"/>
      <c r="AF61" s="64"/>
      <c r="AG61" s="69">
        <f t="shared" si="34"/>
        <v>98.100625409260033</v>
      </c>
      <c r="AH61" s="31"/>
      <c r="AI61" s="42"/>
      <c r="AJ61" s="52">
        <f t="shared" si="35"/>
        <v>32828531.641290095</v>
      </c>
      <c r="AL61" s="139">
        <f t="shared" si="36"/>
        <v>54.301498399847418</v>
      </c>
      <c r="AM61" s="69">
        <f t="shared" si="37"/>
        <v>159.37760065722196</v>
      </c>
      <c r="AO61" s="42"/>
      <c r="AP61" s="153">
        <f t="shared" si="38"/>
        <v>135.32457210144528</v>
      </c>
      <c r="AQ61" s="52"/>
      <c r="AS61" s="31"/>
      <c r="AT61" s="31"/>
      <c r="AY61" s="31"/>
      <c r="AZ61" s="31"/>
      <c r="BB61" s="31"/>
      <c r="BC61" s="31"/>
      <c r="BE61" s="31"/>
      <c r="BF61" s="31"/>
      <c r="BH61" s="31"/>
      <c r="BI61" s="31"/>
      <c r="BK61" s="31"/>
      <c r="BL61" s="31"/>
      <c r="BM61" s="31"/>
      <c r="BO61" s="31"/>
      <c r="BP61" s="31"/>
      <c r="BQ61" s="31"/>
    </row>
    <row r="62" spans="2:69" s="149" customFormat="1" ht="11.1" customHeight="1" x14ac:dyDescent="0.2">
      <c r="B62" s="398"/>
      <c r="C62" s="97">
        <v>40695</v>
      </c>
      <c r="D62" s="98">
        <v>397.33006212589879</v>
      </c>
      <c r="E62" s="111">
        <f t="shared" si="23"/>
        <v>398.46527715654855</v>
      </c>
      <c r="F62" s="108">
        <f t="shared" si="22"/>
        <v>-1.3998371503310017E-3</v>
      </c>
      <c r="H62" s="64"/>
      <c r="I62" s="69">
        <f t="shared" si="39"/>
        <v>24.328350851126498</v>
      </c>
      <c r="K62" s="42"/>
      <c r="L62" s="52">
        <f t="shared" si="31"/>
        <v>34.783427051260382</v>
      </c>
      <c r="N62" s="64"/>
      <c r="O62" s="69">
        <f t="shared" si="32"/>
        <v>7401096.3170544114</v>
      </c>
      <c r="P62" s="31"/>
      <c r="Q62" s="42"/>
      <c r="R62" s="52">
        <f t="shared" si="33"/>
        <v>8754448.2929180693</v>
      </c>
      <c r="Z62" s="232"/>
      <c r="AA62" s="232"/>
      <c r="AB62" s="232"/>
      <c r="AC62" s="232"/>
      <c r="AD62" s="232"/>
      <c r="AF62" s="64"/>
      <c r="AG62" s="69">
        <f t="shared" si="34"/>
        <v>98.100625409260033</v>
      </c>
      <c r="AH62" s="31"/>
      <c r="AI62" s="42"/>
      <c r="AJ62" s="52">
        <f t="shared" si="35"/>
        <v>32828531.641290095</v>
      </c>
      <c r="AL62" s="139">
        <f t="shared" si="36"/>
        <v>54.17905019751219</v>
      </c>
      <c r="AM62" s="69">
        <f t="shared" si="37"/>
        <v>159.0182090885165</v>
      </c>
      <c r="AO62" s="42"/>
      <c r="AP62" s="153">
        <f t="shared" si="38"/>
        <v>135.32457210144528</v>
      </c>
      <c r="AQ62" s="52"/>
      <c r="AS62" s="31"/>
      <c r="AT62" s="31"/>
      <c r="AY62" s="31"/>
      <c r="AZ62" s="31"/>
      <c r="BB62" s="31"/>
      <c r="BC62" s="31"/>
      <c r="BE62" s="31"/>
      <c r="BF62" s="31"/>
      <c r="BH62" s="31"/>
      <c r="BI62" s="31"/>
      <c r="BK62" s="31"/>
      <c r="BL62" s="31"/>
      <c r="BM62" s="31"/>
      <c r="BO62" s="31"/>
      <c r="BP62" s="31"/>
      <c r="BQ62" s="31"/>
    </row>
    <row r="63" spans="2:69" s="149" customFormat="1" ht="11.1" customHeight="1" x14ac:dyDescent="0.2">
      <c r="B63" s="398"/>
      <c r="C63" s="97">
        <v>40725</v>
      </c>
      <c r="D63" s="98">
        <v>396.44</v>
      </c>
      <c r="E63" s="111">
        <f t="shared" si="23"/>
        <v>397.9659399567538</v>
      </c>
      <c r="F63" s="108">
        <f t="shared" si="22"/>
        <v>-1.2531510985299052E-3</v>
      </c>
      <c r="H63" s="64"/>
      <c r="I63" s="69">
        <f t="shared" si="39"/>
        <v>24.328350851126498</v>
      </c>
      <c r="K63" s="42"/>
      <c r="L63" s="52">
        <f t="shared" si="31"/>
        <v>34.783427051260382</v>
      </c>
      <c r="N63" s="64"/>
      <c r="O63" s="69">
        <f t="shared" si="32"/>
        <v>7401096.3170544114</v>
      </c>
      <c r="P63" s="31"/>
      <c r="Q63" s="42"/>
      <c r="R63" s="52">
        <f t="shared" si="33"/>
        <v>8754448.2929180693</v>
      </c>
      <c r="Z63" s="232"/>
      <c r="AA63" s="232"/>
      <c r="AB63" s="232"/>
      <c r="AC63" s="232"/>
      <c r="AD63" s="232"/>
      <c r="AF63" s="64"/>
      <c r="AG63" s="69">
        <f t="shared" si="34"/>
        <v>98.100625409260033</v>
      </c>
      <c r="AH63" s="31"/>
      <c r="AI63" s="42"/>
      <c r="AJ63" s="52">
        <f t="shared" si="35"/>
        <v>32828531.641290095</v>
      </c>
      <c r="AL63" s="139">
        <f t="shared" si="36"/>
        <v>54.103208350276063</v>
      </c>
      <c r="AM63" s="69">
        <f t="shared" si="37"/>
        <v>158.79560949185529</v>
      </c>
      <c r="AO63" s="42"/>
      <c r="AP63" s="153">
        <f t="shared" si="38"/>
        <v>135.32457210144528</v>
      </c>
      <c r="AQ63" s="52"/>
      <c r="AS63" s="31"/>
      <c r="AT63" s="31"/>
      <c r="AY63" s="31"/>
      <c r="AZ63" s="31"/>
      <c r="BB63" s="31"/>
      <c r="BC63" s="31"/>
      <c r="BE63" s="31"/>
      <c r="BF63" s="31"/>
      <c r="BH63" s="31"/>
      <c r="BI63" s="31"/>
      <c r="BK63" s="31"/>
      <c r="BL63" s="31"/>
      <c r="BM63" s="31"/>
      <c r="BO63" s="31"/>
      <c r="BP63" s="31"/>
      <c r="BQ63" s="31"/>
    </row>
    <row r="64" spans="2:69" s="149" customFormat="1" ht="11.1" customHeight="1" x14ac:dyDescent="0.2">
      <c r="B64" s="398"/>
      <c r="C64" s="97">
        <v>40756</v>
      </c>
      <c r="D64" s="98">
        <v>397.1060915696753</v>
      </c>
      <c r="E64" s="111">
        <f t="shared" si="23"/>
        <v>397.95370289074822</v>
      </c>
      <c r="F64" s="108">
        <f t="shared" si="22"/>
        <v>-3.0749028439247701E-5</v>
      </c>
      <c r="H64" s="64"/>
      <c r="I64" s="69">
        <f t="shared" si="39"/>
        <v>24.328350851126498</v>
      </c>
      <c r="K64" s="42"/>
      <c r="L64" s="52">
        <f t="shared" si="31"/>
        <v>34.783427051260382</v>
      </c>
      <c r="N64" s="64"/>
      <c r="O64" s="69">
        <f t="shared" si="32"/>
        <v>7401096.3170544114</v>
      </c>
      <c r="P64" s="31"/>
      <c r="Q64" s="42"/>
      <c r="R64" s="52">
        <f t="shared" si="33"/>
        <v>8754448.2929180693</v>
      </c>
      <c r="Z64" s="232"/>
      <c r="AA64" s="232"/>
      <c r="AB64" s="232"/>
      <c r="AC64" s="232"/>
      <c r="AD64" s="232"/>
      <c r="AF64" s="64"/>
      <c r="AG64" s="69">
        <f t="shared" si="34"/>
        <v>98.100625409260033</v>
      </c>
      <c r="AH64" s="31"/>
      <c r="AI64" s="42"/>
      <c r="AJ64" s="52">
        <f t="shared" si="35"/>
        <v>32828531.641290095</v>
      </c>
      <c r="AL64" s="139">
        <f t="shared" si="36"/>
        <v>54.035408855297923</v>
      </c>
      <c r="AM64" s="69">
        <f t="shared" si="37"/>
        <v>158.59661459937885</v>
      </c>
      <c r="AO64" s="42"/>
      <c r="AP64" s="153">
        <f t="shared" si="38"/>
        <v>135.32457210144528</v>
      </c>
      <c r="AQ64" s="52"/>
      <c r="AS64" s="31"/>
      <c r="AT64" s="31"/>
      <c r="AY64" s="31"/>
      <c r="AZ64" s="31"/>
      <c r="BB64" s="31"/>
      <c r="BC64" s="31"/>
      <c r="BE64" s="31"/>
      <c r="BF64" s="31"/>
      <c r="BH64" s="31"/>
      <c r="BI64" s="31"/>
      <c r="BK64" s="31"/>
      <c r="BL64" s="31"/>
      <c r="BM64" s="31"/>
      <c r="BO64" s="31"/>
      <c r="BP64" s="31"/>
      <c r="BQ64" s="31"/>
    </row>
    <row r="65" spans="2:69" s="149" customFormat="1" ht="11.1" customHeight="1" x14ac:dyDescent="0.2">
      <c r="B65" s="398"/>
      <c r="C65" s="97">
        <v>40787</v>
      </c>
      <c r="D65" s="98">
        <v>409.00960258496718</v>
      </c>
      <c r="E65" s="111">
        <f t="shared" si="23"/>
        <v>398.18717821167894</v>
      </c>
      <c r="F65" s="108">
        <f t="shared" si="22"/>
        <v>5.8668965569298704E-4</v>
      </c>
      <c r="H65" s="64"/>
      <c r="I65" s="69">
        <f t="shared" si="39"/>
        <v>24.328350851126498</v>
      </c>
      <c r="K65" s="42"/>
      <c r="L65" s="52">
        <f t="shared" si="31"/>
        <v>34.783427051260382</v>
      </c>
      <c r="N65" s="64"/>
      <c r="O65" s="69">
        <f t="shared" si="32"/>
        <v>7401096.3170544114</v>
      </c>
      <c r="P65" s="31"/>
      <c r="Q65" s="42"/>
      <c r="R65" s="52">
        <f t="shared" si="33"/>
        <v>8754448.2929180693</v>
      </c>
      <c r="Z65" s="232"/>
      <c r="AA65" s="232"/>
      <c r="AB65" s="232"/>
      <c r="AC65" s="232"/>
      <c r="AD65" s="232"/>
      <c r="AF65" s="64"/>
      <c r="AG65" s="69">
        <f t="shared" si="34"/>
        <v>98.100625409260033</v>
      </c>
      <c r="AH65" s="31"/>
      <c r="AI65" s="42"/>
      <c r="AJ65" s="52">
        <f t="shared" si="35"/>
        <v>32828531.641290095</v>
      </c>
      <c r="AL65" s="139">
        <f t="shared" si="36"/>
        <v>54.033747318974306</v>
      </c>
      <c r="AM65" s="69">
        <f t="shared" si="37"/>
        <v>158.59173790756617</v>
      </c>
      <c r="AO65" s="42"/>
      <c r="AP65" s="153">
        <f t="shared" si="38"/>
        <v>135.32457210144528</v>
      </c>
      <c r="AQ65" s="52"/>
      <c r="AS65" s="31"/>
      <c r="AT65" s="31"/>
      <c r="AY65" s="31"/>
      <c r="AZ65" s="31"/>
      <c r="BB65" s="31"/>
      <c r="BC65" s="31"/>
      <c r="BE65" s="31"/>
      <c r="BF65" s="31"/>
      <c r="BH65" s="31"/>
      <c r="BI65" s="31"/>
      <c r="BK65" s="31"/>
      <c r="BL65" s="31"/>
      <c r="BM65" s="31"/>
      <c r="BO65" s="31"/>
      <c r="BP65" s="31"/>
      <c r="BQ65" s="31"/>
    </row>
    <row r="66" spans="2:69" s="149" customFormat="1" ht="11.1" customHeight="1" x14ac:dyDescent="0.2">
      <c r="B66" s="398"/>
      <c r="C66" s="97">
        <v>40817</v>
      </c>
      <c r="D66" s="98">
        <v>405.91890353243861</v>
      </c>
      <c r="E66" s="111">
        <f t="shared" si="23"/>
        <v>399.63657583911237</v>
      </c>
      <c r="F66" s="108">
        <f t="shared" si="22"/>
        <v>3.6399907047306224E-3</v>
      </c>
      <c r="H66" s="64"/>
      <c r="I66" s="69">
        <f t="shared" si="39"/>
        <v>24.328350851126498</v>
      </c>
      <c r="K66" s="42"/>
      <c r="L66" s="52">
        <f t="shared" si="31"/>
        <v>34.783427051260382</v>
      </c>
      <c r="N66" s="64"/>
      <c r="O66" s="69">
        <f t="shared" si="32"/>
        <v>7401096.3170544114</v>
      </c>
      <c r="P66" s="31"/>
      <c r="Q66" s="42"/>
      <c r="R66" s="52">
        <f t="shared" si="33"/>
        <v>8754448.2929180693</v>
      </c>
      <c r="Z66" s="232"/>
      <c r="AA66" s="232"/>
      <c r="AB66" s="232"/>
      <c r="AC66" s="232"/>
      <c r="AD66" s="232"/>
      <c r="AF66" s="64"/>
      <c r="AG66" s="69">
        <f t="shared" si="34"/>
        <v>98.100625409260033</v>
      </c>
      <c r="AH66" s="31"/>
      <c r="AI66" s="42"/>
      <c r="AJ66" s="52">
        <f t="shared" si="35"/>
        <v>32828531.641290095</v>
      </c>
      <c r="AL66" s="139">
        <f t="shared" si="36"/>
        <v>54.065448359584678</v>
      </c>
      <c r="AM66" s="69">
        <f t="shared" si="37"/>
        <v>158.6847820396749</v>
      </c>
      <c r="AO66" s="42"/>
      <c r="AP66" s="153">
        <f t="shared" si="38"/>
        <v>135.32457210144528</v>
      </c>
      <c r="AQ66" s="52"/>
      <c r="AS66" s="31"/>
      <c r="AT66" s="31"/>
      <c r="AY66" s="31"/>
      <c r="AZ66" s="31"/>
      <c r="BB66" s="31"/>
      <c r="BC66" s="31"/>
      <c r="BE66" s="31"/>
      <c r="BF66" s="31"/>
      <c r="BH66" s="31"/>
      <c r="BI66" s="31"/>
      <c r="BK66" s="31"/>
      <c r="BL66" s="31"/>
      <c r="BM66" s="31"/>
      <c r="BO66" s="31"/>
      <c r="BP66" s="31"/>
      <c r="BQ66" s="31"/>
    </row>
    <row r="67" spans="2:69" s="149" customFormat="1" ht="11.1" customHeight="1" x14ac:dyDescent="0.2">
      <c r="B67" s="398"/>
      <c r="C67" s="97">
        <v>40848</v>
      </c>
      <c r="D67" s="98">
        <v>414.56822323445783</v>
      </c>
      <c r="E67" s="111">
        <f t="shared" si="23"/>
        <v>400.64826626995256</v>
      </c>
      <c r="F67" s="108">
        <f t="shared" si="22"/>
        <v>2.5315261214916454E-3</v>
      </c>
      <c r="H67" s="64"/>
      <c r="I67" s="69">
        <f t="shared" si="39"/>
        <v>24.328350851126498</v>
      </c>
      <c r="K67" s="42"/>
      <c r="L67" s="52">
        <f t="shared" si="31"/>
        <v>34.783427051260382</v>
      </c>
      <c r="N67" s="64"/>
      <c r="O67" s="69">
        <f t="shared" si="32"/>
        <v>7401096.3170544114</v>
      </c>
      <c r="P67" s="31"/>
      <c r="Q67" s="42"/>
      <c r="R67" s="52">
        <f t="shared" si="33"/>
        <v>8754448.2929180693</v>
      </c>
      <c r="Z67" s="232"/>
      <c r="AA67" s="232"/>
      <c r="AB67" s="232"/>
      <c r="AC67" s="232"/>
      <c r="AD67" s="232"/>
      <c r="AF67" s="64"/>
      <c r="AG67" s="69">
        <f t="shared" si="34"/>
        <v>98.100625409260033</v>
      </c>
      <c r="AH67" s="31"/>
      <c r="AI67" s="42"/>
      <c r="AJ67" s="52">
        <f t="shared" si="35"/>
        <v>32828531.641290095</v>
      </c>
      <c r="AL67" s="139">
        <f t="shared" si="36"/>
        <v>54.26224608906066</v>
      </c>
      <c r="AM67" s="69">
        <f t="shared" si="37"/>
        <v>159.26239317128153</v>
      </c>
      <c r="AO67" s="42"/>
      <c r="AP67" s="153">
        <f t="shared" si="38"/>
        <v>135.32457210144528</v>
      </c>
      <c r="AQ67" s="52"/>
      <c r="AS67" s="31"/>
      <c r="AT67" s="31"/>
      <c r="AY67" s="31"/>
      <c r="AZ67" s="31"/>
      <c r="BB67" s="31"/>
      <c r="BC67" s="31"/>
      <c r="BE67" s="31"/>
      <c r="BF67" s="31"/>
      <c r="BH67" s="31"/>
      <c r="BI67" s="31"/>
      <c r="BK67" s="31"/>
      <c r="BL67" s="31"/>
      <c r="BM67" s="31"/>
      <c r="BO67" s="31"/>
      <c r="BP67" s="31"/>
      <c r="BQ67" s="31"/>
    </row>
    <row r="68" spans="2:69" s="149" customFormat="1" ht="11.1" customHeight="1" thickBot="1" x14ac:dyDescent="0.25">
      <c r="B68" s="399"/>
      <c r="C68" s="100">
        <v>40878</v>
      </c>
      <c r="D68" s="106">
        <v>412.72469594173299</v>
      </c>
      <c r="E68" s="106">
        <f t="shared" si="23"/>
        <v>402.12492291668536</v>
      </c>
      <c r="F68" s="107">
        <f t="shared" si="22"/>
        <v>3.6856683805985835E-3</v>
      </c>
      <c r="H68" s="74"/>
      <c r="I68" s="67">
        <f t="shared" si="39"/>
        <v>24.328350851126498</v>
      </c>
      <c r="K68" s="58"/>
      <c r="L68" s="56">
        <f t="shared" si="31"/>
        <v>34.783427051260382</v>
      </c>
      <c r="N68" s="74"/>
      <c r="O68" s="67">
        <f t="shared" si="32"/>
        <v>7401096.3170544114</v>
      </c>
      <c r="P68" s="31"/>
      <c r="Q68" s="58"/>
      <c r="R68" s="56">
        <f t="shared" si="33"/>
        <v>8754448.2929180693</v>
      </c>
      <c r="Z68" s="232"/>
      <c r="AA68" s="232"/>
      <c r="AB68" s="232"/>
      <c r="AC68" s="232"/>
      <c r="AD68" s="232"/>
      <c r="AF68" s="74"/>
      <c r="AG68" s="67">
        <f t="shared" si="34"/>
        <v>98.100625409260033</v>
      </c>
      <c r="AH68" s="31"/>
      <c r="AI68" s="58"/>
      <c r="AJ68" s="56">
        <f t="shared" si="35"/>
        <v>32828531.641290095</v>
      </c>
      <c r="AL68" s="146">
        <f t="shared" si="36"/>
        <v>54.399612382445923</v>
      </c>
      <c r="AM68" s="67">
        <f t="shared" si="37"/>
        <v>159.6655700797659</v>
      </c>
      <c r="AO68" s="58"/>
      <c r="AP68" s="170">
        <f t="shared" si="38"/>
        <v>135.32457210144528</v>
      </c>
      <c r="AQ68" s="54"/>
      <c r="AS68" s="31"/>
      <c r="AT68" s="31"/>
      <c r="AY68" s="31"/>
      <c r="AZ68" s="31"/>
      <c r="BB68" s="31"/>
      <c r="BC68" s="31"/>
      <c r="BE68" s="31"/>
      <c r="BF68" s="31"/>
      <c r="BH68" s="31"/>
      <c r="BI68" s="31"/>
      <c r="BK68" s="31"/>
      <c r="BL68" s="31"/>
      <c r="BM68" s="31"/>
      <c r="BO68" s="31"/>
      <c r="BP68" s="31"/>
      <c r="BQ68" s="31"/>
    </row>
    <row r="69" spans="2:69" s="149" customFormat="1" ht="11.1" customHeight="1" x14ac:dyDescent="0.2">
      <c r="B69" s="397">
        <v>2012</v>
      </c>
      <c r="C69" s="94">
        <v>40909</v>
      </c>
      <c r="D69" s="104">
        <v>408.72844626115989</v>
      </c>
      <c r="E69" s="103">
        <f t="shared" ref="E69:E88" si="40">AVERAGE(D57:D68)</f>
        <v>403.29200079821493</v>
      </c>
      <c r="F69" s="109">
        <f t="shared" si="22"/>
        <v>2.9022769169951869E-3</v>
      </c>
      <c r="H69" s="62"/>
      <c r="I69" s="73">
        <f>(1+((E68-E14)/E14))*H20*0.98</f>
        <v>24.470816446897715</v>
      </c>
      <c r="K69" s="40"/>
      <c r="L69" s="57">
        <f>(1+(($E$68-$E$14)/$E$14))*K$20*0.98</f>
        <v>34.987117046038357</v>
      </c>
      <c r="N69" s="62"/>
      <c r="O69" s="73">
        <f>(1+(($E$68-$E$14)/$E$14))*N$20*0.98</f>
        <v>7444436.7638697997</v>
      </c>
      <c r="P69" s="31"/>
      <c r="Q69" s="40"/>
      <c r="R69" s="57">
        <f>(1+(($E$68-$E$14)/$E$14))*Q$20*0.98</f>
        <v>8805713.9006582331</v>
      </c>
      <c r="Z69" s="232"/>
      <c r="AA69" s="232"/>
      <c r="AB69" s="232"/>
      <c r="AC69" s="232"/>
      <c r="AD69" s="232"/>
      <c r="AF69" s="62"/>
      <c r="AG69" s="73">
        <f>(1+(($E$68-$E$45)/$E$45))*AF$45*0.98</f>
        <v>98.675097724707285</v>
      </c>
      <c r="AH69" s="31"/>
      <c r="AI69" s="40"/>
      <c r="AJ69" s="57">
        <f>(1+(($E$68-$E$45)/$E$45))*AI$45*0.98</f>
        <v>33020773.867127366</v>
      </c>
      <c r="AL69" s="144">
        <f>AL68*(1+F68)*0.98</f>
        <v>53.508109087446307</v>
      </c>
      <c r="AM69" s="73">
        <f>AM68*(1+F68)*0.98</f>
        <v>157.04896353442155</v>
      </c>
      <c r="AO69" s="40"/>
      <c r="AP69" s="169">
        <f>(1+(($E$68-$E$14)/$E$14))*AO$20*0.98</f>
        <v>136.11702597161894</v>
      </c>
      <c r="AQ69" s="57">
        <f>AP69</f>
        <v>136.11702597161894</v>
      </c>
      <c r="AS69" s="31"/>
      <c r="AT69" s="31"/>
      <c r="AY69" s="128"/>
      <c r="AZ69" s="176">
        <v>33.61</v>
      </c>
      <c r="BB69" s="31"/>
      <c r="BC69" s="31"/>
      <c r="BE69" s="128"/>
      <c r="BF69" s="176">
        <f>(685.76)*0.98*(1+(($E$68-$E$57)/$E$57))</f>
        <v>676.36329833362686</v>
      </c>
      <c r="BH69" s="120"/>
      <c r="BI69" s="178">
        <f>(813.52)*0.98*(1+(($E$68-$E$57)/$E$57))</f>
        <v>802.37265291118183</v>
      </c>
      <c r="BK69" s="31"/>
      <c r="BL69" s="31"/>
      <c r="BM69" s="31"/>
      <c r="BO69" s="31"/>
      <c r="BP69" s="31"/>
      <c r="BQ69" s="31"/>
    </row>
    <row r="70" spans="2:69" s="149" customFormat="1" ht="11.1" customHeight="1" x14ac:dyDescent="0.2">
      <c r="B70" s="398"/>
      <c r="C70" s="97">
        <v>40940</v>
      </c>
      <c r="D70" s="98">
        <v>404.8355013651227</v>
      </c>
      <c r="E70" s="111">
        <f t="shared" si="40"/>
        <v>403.98948390917008</v>
      </c>
      <c r="F70" s="108">
        <f t="shared" si="22"/>
        <v>1.7294742012602662E-3</v>
      </c>
      <c r="H70" s="64"/>
      <c r="I70" s="69">
        <f t="shared" ref="I70:I80" si="41">$I$69</f>
        <v>24.470816446897715</v>
      </c>
      <c r="K70" s="42"/>
      <c r="L70" s="52">
        <f t="shared" ref="L70:L80" si="42">$L$69</f>
        <v>34.987117046038357</v>
      </c>
      <c r="N70" s="64"/>
      <c r="O70" s="69">
        <f t="shared" ref="O70:O80" si="43">$O$69</f>
        <v>7444436.7638697997</v>
      </c>
      <c r="P70" s="31"/>
      <c r="Q70" s="42"/>
      <c r="R70" s="52">
        <f>$R$69</f>
        <v>8805713.9006582331</v>
      </c>
      <c r="Z70" s="232"/>
      <c r="AA70" s="232"/>
      <c r="AB70" s="232"/>
      <c r="AC70" s="232"/>
      <c r="AD70" s="232"/>
      <c r="AF70" s="64"/>
      <c r="AG70" s="69">
        <f>AG69</f>
        <v>98.675097724707285</v>
      </c>
      <c r="AH70" s="31"/>
      <c r="AI70" s="42"/>
      <c r="AJ70" s="52">
        <f>AJ69</f>
        <v>33020773.867127366</v>
      </c>
      <c r="AL70" s="139">
        <f t="shared" ref="AL70:AL80" si="44">AL69*(1+F69)</f>
        <v>53.663404437322868</v>
      </c>
      <c r="AM70" s="69">
        <f t="shared" ref="AM70:AM80" si="45">AM69*(1+F69)</f>
        <v>157.50476311612553</v>
      </c>
      <c r="AO70" s="42"/>
      <c r="AP70" s="153">
        <f>$AP$69</f>
        <v>136.11702597161894</v>
      </c>
      <c r="AQ70" s="52">
        <f t="shared" ref="AQ70:AQ80" si="46">$AQ$69</f>
        <v>136.11702597161894</v>
      </c>
      <c r="AS70" s="31"/>
      <c r="AT70" s="31"/>
      <c r="AY70" s="129"/>
      <c r="AZ70" s="52">
        <f>+AZ69</f>
        <v>33.61</v>
      </c>
      <c r="BB70" s="31"/>
      <c r="BC70" s="31"/>
      <c r="BE70" s="129"/>
      <c r="BF70" s="52">
        <f t="shared" ref="BF70:BF80" si="47">$BF$69</f>
        <v>676.36329833362686</v>
      </c>
      <c r="BH70" s="121"/>
      <c r="BI70" s="69">
        <f t="shared" ref="BI70:BI80" si="48">(813.52)*0.98*(1+(($E$68-$E$57)/$E$57))</f>
        <v>802.37265291118183</v>
      </c>
      <c r="BK70" s="31"/>
      <c r="BL70" s="31"/>
      <c r="BM70" s="31"/>
      <c r="BO70" s="31"/>
      <c r="BP70" s="31"/>
      <c r="BQ70" s="31"/>
    </row>
    <row r="71" spans="2:69" s="149" customFormat="1" ht="11.1" customHeight="1" x14ac:dyDescent="0.2">
      <c r="B71" s="398"/>
      <c r="C71" s="97">
        <v>40969</v>
      </c>
      <c r="D71" s="98">
        <v>406.64922493563029</v>
      </c>
      <c r="E71" s="111">
        <f t="shared" si="40"/>
        <v>403.987547345476</v>
      </c>
      <c r="F71" s="108">
        <f t="shared" si="22"/>
        <v>-4.7935992673234007E-6</v>
      </c>
      <c r="H71" s="64"/>
      <c r="I71" s="69">
        <f t="shared" si="41"/>
        <v>24.470816446897715</v>
      </c>
      <c r="K71" s="42"/>
      <c r="L71" s="52">
        <f t="shared" si="42"/>
        <v>34.987117046038357</v>
      </c>
      <c r="N71" s="64"/>
      <c r="O71" s="69">
        <f t="shared" si="43"/>
        <v>7444436.7638697997</v>
      </c>
      <c r="P71" s="31"/>
      <c r="Q71" s="42"/>
      <c r="R71" s="52">
        <f t="shared" ref="R71:R80" si="49">$R$69</f>
        <v>8805713.9006582331</v>
      </c>
      <c r="Z71" s="232"/>
      <c r="AA71" s="232"/>
      <c r="AB71" s="232"/>
      <c r="AC71" s="232"/>
      <c r="AD71" s="232"/>
      <c r="AF71" s="64"/>
      <c r="AG71" s="69">
        <f>AG70</f>
        <v>98.675097724707285</v>
      </c>
      <c r="AH71" s="31"/>
      <c r="AI71" s="42"/>
      <c r="AJ71" s="52">
        <f>AJ70</f>
        <v>33020773.867127366</v>
      </c>
      <c r="AL71" s="139">
        <f t="shared" si="44"/>
        <v>53.75621391084902</v>
      </c>
      <c r="AM71" s="69">
        <f t="shared" si="45"/>
        <v>157.77716354051049</v>
      </c>
      <c r="AO71" s="42"/>
      <c r="AP71" s="153">
        <f>$AP$69</f>
        <v>136.11702597161894</v>
      </c>
      <c r="AQ71" s="52">
        <f t="shared" si="46"/>
        <v>136.11702597161894</v>
      </c>
      <c r="AS71" s="31"/>
      <c r="AT71" s="31"/>
      <c r="AY71" s="129"/>
      <c r="AZ71" s="52">
        <f>+AZ69</f>
        <v>33.61</v>
      </c>
      <c r="BB71" s="31"/>
      <c r="BC71" s="31"/>
      <c r="BE71" s="129"/>
      <c r="BF71" s="52">
        <f t="shared" si="47"/>
        <v>676.36329833362686</v>
      </c>
      <c r="BH71" s="121"/>
      <c r="BI71" s="69">
        <f t="shared" si="48"/>
        <v>802.37265291118183</v>
      </c>
      <c r="BK71" s="31"/>
      <c r="BL71" s="31"/>
      <c r="BM71" s="31"/>
      <c r="BO71" s="31"/>
      <c r="BP71" s="31"/>
      <c r="BQ71" s="31"/>
    </row>
    <row r="72" spans="2:69" s="149" customFormat="1" ht="11.1" customHeight="1" x14ac:dyDescent="0.2">
      <c r="B72" s="398"/>
      <c r="C72" s="97">
        <v>41000</v>
      </c>
      <c r="D72" s="98">
        <v>404.28</v>
      </c>
      <c r="E72" s="111">
        <f t="shared" si="40"/>
        <v>404.14600221264982</v>
      </c>
      <c r="F72" s="108">
        <f t="shared" ref="F72:F88" si="50">(E72-E71)/E71</f>
        <v>3.9222710753089411E-4</v>
      </c>
      <c r="H72" s="64"/>
      <c r="I72" s="69">
        <f t="shared" si="41"/>
        <v>24.470816446897715</v>
      </c>
      <c r="K72" s="42"/>
      <c r="L72" s="52">
        <f t="shared" si="42"/>
        <v>34.987117046038357</v>
      </c>
      <c r="N72" s="64"/>
      <c r="O72" s="69">
        <f t="shared" si="43"/>
        <v>7444436.7638697997</v>
      </c>
      <c r="P72" s="31"/>
      <c r="Q72" s="42"/>
      <c r="R72" s="52">
        <f t="shared" si="49"/>
        <v>8805713.9006582331</v>
      </c>
      <c r="Z72" s="232"/>
      <c r="AA72" s="232"/>
      <c r="AB72" s="232"/>
      <c r="AC72" s="232"/>
      <c r="AD72" s="232"/>
      <c r="AF72" s="113"/>
      <c r="AG72" s="114">
        <v>84.15</v>
      </c>
      <c r="AH72" s="31"/>
      <c r="AI72" s="122"/>
      <c r="AJ72" s="123">
        <v>29881618.23</v>
      </c>
      <c r="AL72" s="139">
        <f t="shared" si="44"/>
        <v>53.755956225101407</v>
      </c>
      <c r="AM72" s="69">
        <f t="shared" si="45"/>
        <v>157.77640722001493</v>
      </c>
      <c r="AO72" s="42"/>
      <c r="AP72" s="171">
        <v>90.21</v>
      </c>
      <c r="AQ72" s="52">
        <f t="shared" si="46"/>
        <v>136.11702597161894</v>
      </c>
      <c r="AS72" s="31"/>
      <c r="AT72" s="31"/>
      <c r="AY72" s="129"/>
      <c r="AZ72" s="52">
        <f>+AZ69</f>
        <v>33.61</v>
      </c>
      <c r="BB72" s="31"/>
      <c r="BC72" s="31"/>
      <c r="BE72" s="129"/>
      <c r="BF72" s="52">
        <f t="shared" si="47"/>
        <v>676.36329833362686</v>
      </c>
      <c r="BH72" s="121"/>
      <c r="BI72" s="69">
        <f t="shared" si="48"/>
        <v>802.37265291118183</v>
      </c>
      <c r="BK72" s="31"/>
      <c r="BL72" s="31"/>
      <c r="BM72" s="31"/>
      <c r="BO72" s="31"/>
      <c r="BP72" s="31"/>
      <c r="BQ72" s="31"/>
    </row>
    <row r="73" spans="2:69" s="149" customFormat="1" ht="11.1" customHeight="1" x14ac:dyDescent="0.2">
      <c r="B73" s="398"/>
      <c r="C73" s="97">
        <v>41030</v>
      </c>
      <c r="D73" s="98">
        <v>409.83372402258198</v>
      </c>
      <c r="E73" s="111">
        <f t="shared" si="40"/>
        <v>404.85650952350829</v>
      </c>
      <c r="F73" s="108">
        <f t="shared" si="50"/>
        <v>1.7580461193938189E-3</v>
      </c>
      <c r="H73" s="64"/>
      <c r="I73" s="69">
        <f t="shared" si="41"/>
        <v>24.470816446897715</v>
      </c>
      <c r="K73" s="42"/>
      <c r="L73" s="52">
        <f t="shared" si="42"/>
        <v>34.987117046038357</v>
      </c>
      <c r="N73" s="64"/>
      <c r="O73" s="69">
        <f t="shared" si="43"/>
        <v>7444436.7638697997</v>
      </c>
      <c r="P73" s="31"/>
      <c r="Q73" s="42"/>
      <c r="R73" s="52">
        <f t="shared" si="49"/>
        <v>8805713.9006582331</v>
      </c>
      <c r="Z73" s="232"/>
      <c r="AA73" s="232"/>
      <c r="AB73" s="232"/>
      <c r="AC73" s="232"/>
      <c r="AD73" s="232"/>
      <c r="AF73" s="115"/>
      <c r="AG73" s="69">
        <f>+AG72</f>
        <v>84.15</v>
      </c>
      <c r="AH73" s="31"/>
      <c r="AI73" s="124"/>
      <c r="AJ73" s="52">
        <f>+AJ72</f>
        <v>29881618.23</v>
      </c>
      <c r="AL73" s="139">
        <f t="shared" si="44"/>
        <v>53.777040768324142</v>
      </c>
      <c r="AM73" s="69">
        <f t="shared" si="45"/>
        <v>157.83829140385546</v>
      </c>
      <c r="AO73" s="42"/>
      <c r="AP73" s="153">
        <f>AP72</f>
        <v>90.21</v>
      </c>
      <c r="AQ73" s="52">
        <f t="shared" si="46"/>
        <v>136.11702597161894</v>
      </c>
      <c r="AS73" s="31"/>
      <c r="AT73" s="31"/>
      <c r="AY73" s="129"/>
      <c r="AZ73" s="52">
        <f>+AZ69</f>
        <v>33.61</v>
      </c>
      <c r="BB73" s="31"/>
      <c r="BC73" s="31"/>
      <c r="BE73" s="129"/>
      <c r="BF73" s="52">
        <f t="shared" si="47"/>
        <v>676.36329833362686</v>
      </c>
      <c r="BH73" s="121"/>
      <c r="BI73" s="69">
        <f t="shared" si="48"/>
        <v>802.37265291118183</v>
      </c>
      <c r="BK73" s="31"/>
      <c r="BL73" s="31"/>
      <c r="BM73" s="31"/>
      <c r="BO73" s="31"/>
      <c r="BP73" s="31"/>
      <c r="BQ73" s="31"/>
    </row>
    <row r="74" spans="2:69" s="149" customFormat="1" ht="11.1" customHeight="1" x14ac:dyDescent="0.2">
      <c r="B74" s="398"/>
      <c r="C74" s="97">
        <v>41061</v>
      </c>
      <c r="D74" s="98">
        <v>403.88746173838206</v>
      </c>
      <c r="E74" s="111">
        <f t="shared" si="40"/>
        <v>405.61870629780543</v>
      </c>
      <c r="F74" s="108">
        <f t="shared" si="50"/>
        <v>1.8826343565383141E-3</v>
      </c>
      <c r="H74" s="64"/>
      <c r="I74" s="69">
        <f t="shared" si="41"/>
        <v>24.470816446897715</v>
      </c>
      <c r="K74" s="42"/>
      <c r="L74" s="52">
        <f t="shared" si="42"/>
        <v>34.987117046038357</v>
      </c>
      <c r="N74" s="64"/>
      <c r="O74" s="69">
        <f t="shared" si="43"/>
        <v>7444436.7638697997</v>
      </c>
      <c r="P74" s="31"/>
      <c r="Q74" s="42"/>
      <c r="R74" s="52">
        <f t="shared" si="49"/>
        <v>8805713.9006582331</v>
      </c>
      <c r="Z74" s="232"/>
      <c r="AA74" s="232"/>
      <c r="AB74" s="232"/>
      <c r="AC74" s="232"/>
      <c r="AD74" s="232"/>
      <c r="AF74" s="116"/>
      <c r="AG74" s="69">
        <f>+AG72</f>
        <v>84.15</v>
      </c>
      <c r="AH74" s="31"/>
      <c r="AI74" s="125"/>
      <c r="AJ74" s="52">
        <f>+AJ72</f>
        <v>29881618.23</v>
      </c>
      <c r="AL74" s="139">
        <f t="shared" si="44"/>
        <v>53.871583286159378</v>
      </c>
      <c r="AM74" s="69">
        <f t="shared" si="45"/>
        <v>158.11577839954975</v>
      </c>
      <c r="AO74" s="42"/>
      <c r="AP74" s="153">
        <f>AP72</f>
        <v>90.21</v>
      </c>
      <c r="AQ74" s="52">
        <f t="shared" si="46"/>
        <v>136.11702597161894</v>
      </c>
      <c r="AS74" s="31"/>
      <c r="AT74" s="31"/>
      <c r="AY74" s="129"/>
      <c r="AZ74" s="52">
        <f>+AZ69</f>
        <v>33.61</v>
      </c>
      <c r="BB74" s="31"/>
      <c r="BC74" s="31"/>
      <c r="BE74" s="129"/>
      <c r="BF74" s="52">
        <f t="shared" si="47"/>
        <v>676.36329833362686</v>
      </c>
      <c r="BH74" s="121"/>
      <c r="BI74" s="69">
        <f t="shared" si="48"/>
        <v>802.37265291118183</v>
      </c>
      <c r="BK74" s="31"/>
      <c r="BL74" s="31"/>
      <c r="BM74" s="31"/>
      <c r="BO74" s="31"/>
      <c r="BP74" s="31"/>
      <c r="BQ74" s="31"/>
    </row>
    <row r="75" spans="2:69" s="149" customFormat="1" ht="11.1" customHeight="1" x14ac:dyDescent="0.2">
      <c r="B75" s="398"/>
      <c r="C75" s="97">
        <v>41091</v>
      </c>
      <c r="D75" s="98">
        <v>404.02555360788057</v>
      </c>
      <c r="E75" s="111">
        <f t="shared" si="40"/>
        <v>406.16515626551239</v>
      </c>
      <c r="F75" s="108">
        <f t="shared" si="50"/>
        <v>1.3472011009910345E-3</v>
      </c>
      <c r="H75" s="64"/>
      <c r="I75" s="69">
        <f t="shared" si="41"/>
        <v>24.470816446897715</v>
      </c>
      <c r="K75" s="42"/>
      <c r="L75" s="52">
        <f t="shared" si="42"/>
        <v>34.987117046038357</v>
      </c>
      <c r="N75" s="64"/>
      <c r="O75" s="69">
        <f t="shared" si="43"/>
        <v>7444436.7638697997</v>
      </c>
      <c r="P75" s="31"/>
      <c r="Q75" s="42"/>
      <c r="R75" s="52">
        <f t="shared" si="49"/>
        <v>8805713.9006582331</v>
      </c>
      <c r="Z75" s="232"/>
      <c r="AA75" s="232"/>
      <c r="AB75" s="232"/>
      <c r="AC75" s="232"/>
      <c r="AD75" s="232"/>
      <c r="AF75" s="116"/>
      <c r="AG75" s="69">
        <f>+AG72</f>
        <v>84.15</v>
      </c>
      <c r="AH75" s="31"/>
      <c r="AI75" s="125"/>
      <c r="AJ75" s="52">
        <f>+AJ72</f>
        <v>29881618.23</v>
      </c>
      <c r="AL75" s="139">
        <f t="shared" si="44"/>
        <v>53.97300377969502</v>
      </c>
      <c r="AM75" s="69">
        <f t="shared" si="45"/>
        <v>158.41345259627556</v>
      </c>
      <c r="AO75" s="42"/>
      <c r="AP75" s="153">
        <f>AP72</f>
        <v>90.21</v>
      </c>
      <c r="AQ75" s="52">
        <f t="shared" si="46"/>
        <v>136.11702597161894</v>
      </c>
      <c r="AS75" s="31"/>
      <c r="AT75" s="31"/>
      <c r="AY75" s="129"/>
      <c r="AZ75" s="52">
        <f>+AZ69</f>
        <v>33.61</v>
      </c>
      <c r="BB75" s="31"/>
      <c r="BC75" s="31"/>
      <c r="BE75" s="129"/>
      <c r="BF75" s="52">
        <f t="shared" si="47"/>
        <v>676.36329833362686</v>
      </c>
      <c r="BH75" s="121"/>
      <c r="BI75" s="69">
        <f t="shared" si="48"/>
        <v>802.37265291118183</v>
      </c>
      <c r="BK75" s="31"/>
      <c r="BL75" s="31"/>
      <c r="BM75" s="31"/>
      <c r="BO75" s="31"/>
      <c r="BP75" s="31"/>
      <c r="BQ75" s="31"/>
    </row>
    <row r="76" spans="2:69" s="149" customFormat="1" ht="11.1" customHeight="1" x14ac:dyDescent="0.2">
      <c r="B76" s="398"/>
      <c r="C76" s="97">
        <v>41122</v>
      </c>
      <c r="D76" s="98">
        <v>408.22121041868462</v>
      </c>
      <c r="E76" s="111">
        <f t="shared" si="40"/>
        <v>406.79728573283569</v>
      </c>
      <c r="F76" s="108">
        <f t="shared" si="50"/>
        <v>1.5563360312228975E-3</v>
      </c>
      <c r="H76" s="64"/>
      <c r="I76" s="69">
        <f t="shared" si="41"/>
        <v>24.470816446897715</v>
      </c>
      <c r="K76" s="42"/>
      <c r="L76" s="52">
        <f t="shared" si="42"/>
        <v>34.987117046038357</v>
      </c>
      <c r="N76" s="64"/>
      <c r="O76" s="69">
        <f t="shared" si="43"/>
        <v>7444436.7638697997</v>
      </c>
      <c r="P76" s="31"/>
      <c r="Q76" s="42"/>
      <c r="R76" s="52">
        <f t="shared" si="49"/>
        <v>8805713.9006582331</v>
      </c>
      <c r="Z76" s="232"/>
      <c r="AA76" s="232"/>
      <c r="AB76" s="232"/>
      <c r="AC76" s="232"/>
      <c r="AD76" s="232"/>
      <c r="AF76" s="116"/>
      <c r="AG76" s="69">
        <f>+AG72</f>
        <v>84.15</v>
      </c>
      <c r="AH76" s="31"/>
      <c r="AI76" s="125"/>
      <c r="AJ76" s="52">
        <f>+AJ72</f>
        <v>29881618.23</v>
      </c>
      <c r="AL76" s="139">
        <f t="shared" si="44"/>
        <v>54.045716269810811</v>
      </c>
      <c r="AM76" s="69">
        <f t="shared" si="45"/>
        <v>158.62686737402504</v>
      </c>
      <c r="AO76" s="42"/>
      <c r="AP76" s="153">
        <f>AP72</f>
        <v>90.21</v>
      </c>
      <c r="AQ76" s="52">
        <f t="shared" si="46"/>
        <v>136.11702597161894</v>
      </c>
      <c r="AS76" s="31"/>
      <c r="AT76" s="31"/>
      <c r="AY76" s="129"/>
      <c r="AZ76" s="52">
        <f>+AZ69</f>
        <v>33.61</v>
      </c>
      <c r="BB76" s="31"/>
      <c r="BC76" s="31"/>
      <c r="BE76" s="129"/>
      <c r="BF76" s="52">
        <f t="shared" si="47"/>
        <v>676.36329833362686</v>
      </c>
      <c r="BH76" s="121"/>
      <c r="BI76" s="69">
        <f t="shared" si="48"/>
        <v>802.37265291118183</v>
      </c>
      <c r="BK76" s="31"/>
      <c r="BL76" s="31"/>
      <c r="BM76" s="31"/>
      <c r="BO76" s="31"/>
      <c r="BP76" s="31"/>
      <c r="BQ76" s="31"/>
    </row>
    <row r="77" spans="2:69" s="149" customFormat="1" ht="11.1" customHeight="1" x14ac:dyDescent="0.2">
      <c r="B77" s="398"/>
      <c r="C77" s="97">
        <v>41153</v>
      </c>
      <c r="D77" s="98">
        <v>406.54948042916612</v>
      </c>
      <c r="E77" s="111">
        <f t="shared" si="40"/>
        <v>407.72354563691988</v>
      </c>
      <c r="F77" s="108">
        <f t="shared" si="50"/>
        <v>2.2769569428555928E-3</v>
      </c>
      <c r="H77" s="64"/>
      <c r="I77" s="69">
        <f t="shared" si="41"/>
        <v>24.470816446897715</v>
      </c>
      <c r="K77" s="42"/>
      <c r="L77" s="52">
        <f t="shared" si="42"/>
        <v>34.987117046038357</v>
      </c>
      <c r="N77" s="64"/>
      <c r="O77" s="69">
        <f t="shared" si="43"/>
        <v>7444436.7638697997</v>
      </c>
      <c r="P77" s="31"/>
      <c r="Q77" s="42"/>
      <c r="R77" s="52">
        <f t="shared" si="49"/>
        <v>8805713.9006582331</v>
      </c>
      <c r="Z77" s="232"/>
      <c r="AA77" s="232"/>
      <c r="AB77" s="232"/>
      <c r="AC77" s="232"/>
      <c r="AD77" s="232"/>
      <c r="AF77" s="116"/>
      <c r="AG77" s="69">
        <f>+AG72</f>
        <v>84.15</v>
      </c>
      <c r="AH77" s="31"/>
      <c r="AI77" s="125"/>
      <c r="AJ77" s="52">
        <f>+AJ72</f>
        <v>29881618.23</v>
      </c>
      <c r="AL77" s="139">
        <f t="shared" si="44"/>
        <v>54.12982956537477</v>
      </c>
      <c r="AM77" s="69">
        <f t="shared" si="45"/>
        <v>158.87374408323927</v>
      </c>
      <c r="AO77" s="42"/>
      <c r="AP77" s="153">
        <f>AP72</f>
        <v>90.21</v>
      </c>
      <c r="AQ77" s="52">
        <f t="shared" si="46"/>
        <v>136.11702597161894</v>
      </c>
      <c r="AS77" s="31"/>
      <c r="AT77" s="31"/>
      <c r="AY77" s="129"/>
      <c r="AZ77" s="52">
        <f>+AZ69</f>
        <v>33.61</v>
      </c>
      <c r="BB77" s="31"/>
      <c r="BC77" s="31"/>
      <c r="BE77" s="129"/>
      <c r="BF77" s="52">
        <f t="shared" si="47"/>
        <v>676.36329833362686</v>
      </c>
      <c r="BH77" s="121"/>
      <c r="BI77" s="69">
        <f t="shared" si="48"/>
        <v>802.37265291118183</v>
      </c>
      <c r="BK77" s="31"/>
      <c r="BL77" s="31"/>
      <c r="BM77" s="31"/>
      <c r="BO77" s="31"/>
      <c r="BP77" s="31"/>
      <c r="BQ77" s="31"/>
    </row>
    <row r="78" spans="2:69" s="149" customFormat="1" ht="11.1" customHeight="1" x14ac:dyDescent="0.2">
      <c r="B78" s="398"/>
      <c r="C78" s="97">
        <v>41183</v>
      </c>
      <c r="D78" s="98">
        <v>406.28139030148543</v>
      </c>
      <c r="E78" s="111">
        <f t="shared" si="40"/>
        <v>407.51853545726982</v>
      </c>
      <c r="F78" s="108">
        <f t="shared" si="50"/>
        <v>-5.0281663113128764E-4</v>
      </c>
      <c r="H78" s="64"/>
      <c r="I78" s="69">
        <f t="shared" si="41"/>
        <v>24.470816446897715</v>
      </c>
      <c r="K78" s="42"/>
      <c r="L78" s="52">
        <f t="shared" si="42"/>
        <v>34.987117046038357</v>
      </c>
      <c r="N78" s="64"/>
      <c r="O78" s="69">
        <f t="shared" si="43"/>
        <v>7444436.7638697997</v>
      </c>
      <c r="P78" s="31"/>
      <c r="Q78" s="42"/>
      <c r="R78" s="52">
        <f t="shared" si="49"/>
        <v>8805713.9006582331</v>
      </c>
      <c r="Z78" s="232"/>
      <c r="AA78" s="232"/>
      <c r="AB78" s="232"/>
      <c r="AC78" s="232"/>
      <c r="AD78" s="232"/>
      <c r="AF78" s="116"/>
      <c r="AG78" s="69">
        <f>+AG72</f>
        <v>84.15</v>
      </c>
      <c r="AH78" s="31"/>
      <c r="AI78" s="125"/>
      <c r="AJ78" s="52">
        <f>+AJ72</f>
        <v>29881618.23</v>
      </c>
      <c r="AL78" s="139">
        <f t="shared" si="44"/>
        <v>54.253080856619242</v>
      </c>
      <c r="AM78" s="69">
        <f t="shared" si="45"/>
        <v>159.23549275786706</v>
      </c>
      <c r="AO78" s="42"/>
      <c r="AP78" s="153">
        <f>AP72</f>
        <v>90.21</v>
      </c>
      <c r="AQ78" s="52">
        <f t="shared" si="46"/>
        <v>136.11702597161894</v>
      </c>
      <c r="AS78" s="31"/>
      <c r="AT78" s="31"/>
      <c r="AY78" s="129"/>
      <c r="AZ78" s="52">
        <f>+AZ69</f>
        <v>33.61</v>
      </c>
      <c r="BB78" s="31"/>
      <c r="BC78" s="31"/>
      <c r="BE78" s="129"/>
      <c r="BF78" s="52">
        <f t="shared" si="47"/>
        <v>676.36329833362686</v>
      </c>
      <c r="BH78" s="121"/>
      <c r="BI78" s="69">
        <f t="shared" si="48"/>
        <v>802.37265291118183</v>
      </c>
      <c r="BK78" s="31"/>
      <c r="BL78" s="31"/>
      <c r="BM78" s="31"/>
      <c r="BO78" s="31"/>
      <c r="BP78" s="31"/>
      <c r="BQ78" s="31"/>
    </row>
    <row r="79" spans="2:69" s="149" customFormat="1" ht="11.1" customHeight="1" x14ac:dyDescent="0.2">
      <c r="B79" s="398"/>
      <c r="C79" s="97">
        <v>41214</v>
      </c>
      <c r="D79" s="98">
        <v>406.64045461482709</v>
      </c>
      <c r="E79" s="111">
        <f t="shared" si="40"/>
        <v>407.54874268802365</v>
      </c>
      <c r="F79" s="108">
        <f t="shared" si="50"/>
        <v>7.4124802004247475E-5</v>
      </c>
      <c r="H79" s="64"/>
      <c r="I79" s="69">
        <f t="shared" si="41"/>
        <v>24.470816446897715</v>
      </c>
      <c r="K79" s="42"/>
      <c r="L79" s="52">
        <f t="shared" si="42"/>
        <v>34.987117046038357</v>
      </c>
      <c r="N79" s="64"/>
      <c r="O79" s="69">
        <f t="shared" si="43"/>
        <v>7444436.7638697997</v>
      </c>
      <c r="P79" s="31"/>
      <c r="Q79" s="42"/>
      <c r="R79" s="52">
        <f t="shared" si="49"/>
        <v>8805713.9006582331</v>
      </c>
      <c r="Z79" s="232"/>
      <c r="AA79" s="232"/>
      <c r="AB79" s="232"/>
      <c r="AC79" s="232"/>
      <c r="AD79" s="232"/>
      <c r="AF79" s="116"/>
      <c r="AG79" s="69">
        <f>+AG72</f>
        <v>84.15</v>
      </c>
      <c r="AH79" s="31"/>
      <c r="AI79" s="125"/>
      <c r="AJ79" s="52">
        <f>+AJ72</f>
        <v>29881618.23</v>
      </c>
      <c r="AL79" s="139">
        <f t="shared" si="44"/>
        <v>54.225801505274426</v>
      </c>
      <c r="AM79" s="69">
        <f t="shared" si="45"/>
        <v>159.15542650384202</v>
      </c>
      <c r="AO79" s="42"/>
      <c r="AP79" s="153">
        <f>AP72</f>
        <v>90.21</v>
      </c>
      <c r="AQ79" s="52">
        <f t="shared" si="46"/>
        <v>136.11702597161894</v>
      </c>
      <c r="AS79" s="31"/>
      <c r="AT79" s="31"/>
      <c r="AY79" s="129"/>
      <c r="AZ79" s="52">
        <f>+AZ69</f>
        <v>33.61</v>
      </c>
      <c r="BB79" s="31"/>
      <c r="BC79" s="31"/>
      <c r="BE79" s="129"/>
      <c r="BF79" s="52">
        <f t="shared" si="47"/>
        <v>676.36329833362686</v>
      </c>
      <c r="BH79" s="121"/>
      <c r="BI79" s="69">
        <f t="shared" si="48"/>
        <v>802.37265291118183</v>
      </c>
      <c r="BK79" s="31"/>
      <c r="BL79" s="31"/>
      <c r="BM79" s="31"/>
      <c r="BO79" s="31"/>
      <c r="BP79" s="31"/>
      <c r="BQ79" s="31"/>
    </row>
    <row r="80" spans="2:69" s="149" customFormat="1" ht="11.1" customHeight="1" thickBot="1" x14ac:dyDescent="0.25">
      <c r="B80" s="399"/>
      <c r="C80" s="100">
        <v>41244</v>
      </c>
      <c r="D80" s="106">
        <v>398.04627263559752</v>
      </c>
      <c r="E80" s="106">
        <f t="shared" ref="E80:E85" si="51">AVERAGE(D68:D79)</f>
        <v>406.88809530305451</v>
      </c>
      <c r="F80" s="107">
        <f t="shared" si="50"/>
        <v>-1.6210266791937089E-3</v>
      </c>
      <c r="H80" s="74"/>
      <c r="I80" s="67">
        <f t="shared" si="41"/>
        <v>24.470816446897715</v>
      </c>
      <c r="K80" s="58"/>
      <c r="L80" s="56">
        <f t="shared" si="42"/>
        <v>34.987117046038357</v>
      </c>
      <c r="N80" s="74"/>
      <c r="O80" s="67">
        <f t="shared" si="43"/>
        <v>7444436.7638697997</v>
      </c>
      <c r="P80" s="31"/>
      <c r="Q80" s="58"/>
      <c r="R80" s="56">
        <f t="shared" si="49"/>
        <v>8805713.9006582331</v>
      </c>
      <c r="Z80" s="232"/>
      <c r="AA80" s="232"/>
      <c r="AB80" s="232"/>
      <c r="AC80" s="232"/>
      <c r="AD80" s="232"/>
      <c r="AF80" s="117"/>
      <c r="AG80" s="72">
        <f>+AG72</f>
        <v>84.15</v>
      </c>
      <c r="AH80" s="31"/>
      <c r="AI80" s="126"/>
      <c r="AJ80" s="56">
        <f>+AJ72</f>
        <v>29881618.23</v>
      </c>
      <c r="AL80" s="146">
        <f t="shared" si="44"/>
        <v>54.229820982074521</v>
      </c>
      <c r="AM80" s="147">
        <f t="shared" si="45"/>
        <v>159.16722386831952</v>
      </c>
      <c r="AO80" s="58"/>
      <c r="AP80" s="170">
        <f>AP72</f>
        <v>90.21</v>
      </c>
      <c r="AQ80" s="56">
        <f t="shared" si="46"/>
        <v>136.11702597161894</v>
      </c>
      <c r="AS80" s="31"/>
      <c r="AT80" s="31"/>
      <c r="AY80" s="177"/>
      <c r="AZ80" s="56">
        <f>+AZ69</f>
        <v>33.61</v>
      </c>
      <c r="BB80" s="31"/>
      <c r="BC80" s="31"/>
      <c r="BE80" s="177"/>
      <c r="BF80" s="56">
        <f t="shared" si="47"/>
        <v>676.36329833362686</v>
      </c>
      <c r="BH80" s="179"/>
      <c r="BI80" s="67">
        <f t="shared" si="48"/>
        <v>802.37265291118183</v>
      </c>
      <c r="BK80" s="31"/>
      <c r="BL80" s="31"/>
      <c r="BM80" s="31"/>
      <c r="BO80" s="31"/>
      <c r="BP80" s="31"/>
      <c r="BQ80" s="31"/>
    </row>
    <row r="81" spans="2:69" s="149" customFormat="1" ht="11.1" customHeight="1" thickBot="1" x14ac:dyDescent="0.25">
      <c r="B81" s="397">
        <v>2013</v>
      </c>
      <c r="C81" s="94">
        <v>41275</v>
      </c>
      <c r="D81" s="104">
        <v>402.426794335512</v>
      </c>
      <c r="E81" s="103">
        <f t="shared" si="51"/>
        <v>405.66489336087648</v>
      </c>
      <c r="F81" s="109">
        <f>(E81-E80)/E80</f>
        <v>-3.006236742480713E-3</v>
      </c>
      <c r="H81" s="62"/>
      <c r="I81" s="73">
        <f>(1+((E80-E14)/E14))*H20*0.98</f>
        <v>24.760673430459811</v>
      </c>
      <c r="K81" s="40"/>
      <c r="L81" s="57">
        <f>(1+(($E$80-$E$14)/$E$14))*K$20*0.98</f>
        <v>35.401539680138264</v>
      </c>
      <c r="N81" s="62"/>
      <c r="O81" s="73">
        <f>(1+(($E$80-$E$14)/$E$14))*N$20*0.98</f>
        <v>7532616.1668487154</v>
      </c>
      <c r="P81" s="31"/>
      <c r="Q81" s="40"/>
      <c r="R81" s="57">
        <f>(1+(($E$80-$E$14)/$E$14))*Q$20*0.98</f>
        <v>8910017.6403758824</v>
      </c>
      <c r="Z81" s="232"/>
      <c r="AA81" s="232"/>
      <c r="AB81" s="232"/>
      <c r="AC81" s="232"/>
      <c r="AD81" s="232"/>
      <c r="AF81" s="119"/>
      <c r="AG81" s="178">
        <f>70.26*0.98*(1+(($E$80-$E$57)/$E$57))</f>
        <v>70.118081080603531</v>
      </c>
      <c r="AH81" s="31"/>
      <c r="AI81" s="231" t="s">
        <v>68</v>
      </c>
      <c r="AJ81" s="176">
        <f>26934704.82*0.98*(1+(($E$80-$E$57)/$E$57))</f>
        <v>26880299.123980682</v>
      </c>
      <c r="AL81" s="148">
        <f>AL80*(1+F80)*0.98</f>
        <v>53.059074735545586</v>
      </c>
      <c r="AM81" s="73">
        <f>AM80*(1+F80)*0.98</f>
        <v>155.73102536093626</v>
      </c>
      <c r="AO81" s="40"/>
      <c r="AP81" s="172">
        <f>60.14*0.98*(1+(($E$80-$E$57)/$E$57))</f>
        <v>60.018522575967779</v>
      </c>
      <c r="AQ81" s="173">
        <f>AP$20*0.98*(1+(($E$80-$E$14)/$E$14))</f>
        <v>137.72933304952926</v>
      </c>
      <c r="AS81" s="31"/>
      <c r="AT81" s="31"/>
      <c r="AY81" s="128"/>
      <c r="AZ81" s="176">
        <f>15.33*0.98*(1+(($E$80-$E$57)/$E$57))</f>
        <v>15.299034770362256</v>
      </c>
      <c r="BB81" s="31"/>
      <c r="BC81" s="31"/>
      <c r="BE81" s="128"/>
      <c r="BF81" s="176">
        <f>(BF69)*0.98*(1+(($E$80-$E$57)/$E$57))</f>
        <v>674.9971049317063</v>
      </c>
      <c r="BH81" s="120"/>
      <c r="BI81" s="178">
        <f>(BI69)*0.98*(1+(($E$80-$E$57)/$E$57))</f>
        <v>800.75193187710227</v>
      </c>
      <c r="BK81" s="31"/>
      <c r="BL81" s="31"/>
      <c r="BM81" s="31"/>
      <c r="BO81" s="31"/>
      <c r="BP81" s="31"/>
      <c r="BQ81" s="31"/>
    </row>
    <row r="82" spans="2:69" s="149" customFormat="1" ht="11.1" customHeight="1" x14ac:dyDescent="0.2">
      <c r="B82" s="398"/>
      <c r="C82" s="97">
        <v>41306</v>
      </c>
      <c r="D82" s="98">
        <v>406.35350124194957</v>
      </c>
      <c r="E82" s="111">
        <f t="shared" si="51"/>
        <v>405.13975570040583</v>
      </c>
      <c r="F82" s="108">
        <f t="shared" si="50"/>
        <v>-1.2945109844728156E-3</v>
      </c>
      <c r="H82" s="64"/>
      <c r="I82" s="69">
        <f>I81</f>
        <v>24.760673430459811</v>
      </c>
      <c r="K82" s="42"/>
      <c r="L82" s="52">
        <f>L81</f>
        <v>35.401539680138264</v>
      </c>
      <c r="N82" s="64"/>
      <c r="O82" s="69">
        <f>O81</f>
        <v>7532616.1668487154</v>
      </c>
      <c r="P82" s="31"/>
      <c r="Q82" s="42"/>
      <c r="R82" s="52">
        <f>R81</f>
        <v>8910017.6403758824</v>
      </c>
      <c r="Z82" s="232"/>
      <c r="AA82" s="232"/>
      <c r="AB82" s="232"/>
      <c r="AC82" s="232"/>
      <c r="AD82" s="232"/>
      <c r="AF82" s="116"/>
      <c r="AG82" s="69">
        <f>AG81</f>
        <v>70.118081080603531</v>
      </c>
      <c r="AH82" s="31"/>
      <c r="AI82" s="125"/>
      <c r="AJ82" s="52">
        <f>AJ81</f>
        <v>26880299.123980682</v>
      </c>
      <c r="AL82" s="139">
        <f t="shared" ref="AL82:AL92" si="52">AL81*(1+F81)</f>
        <v>52.899566595553559</v>
      </c>
      <c r="AM82" s="69">
        <f t="shared" ref="AM82:AM92" si="53">AM81*(1+F81)</f>
        <v>155.26286103055202</v>
      </c>
      <c r="AO82" s="42"/>
      <c r="AP82" s="153">
        <f>AP81</f>
        <v>60.018522575967779</v>
      </c>
      <c r="AQ82" s="52">
        <f>AQ81</f>
        <v>137.72933304952926</v>
      </c>
      <c r="AS82" s="31"/>
      <c r="AT82" s="31"/>
      <c r="AY82" s="129"/>
      <c r="AZ82" s="52">
        <f>+AZ81</f>
        <v>15.299034770362256</v>
      </c>
      <c r="BB82" s="31"/>
      <c r="BC82" s="31"/>
      <c r="BE82" s="129"/>
      <c r="BF82" s="52">
        <f>BF81</f>
        <v>674.9971049317063</v>
      </c>
      <c r="BH82" s="121"/>
      <c r="BI82" s="69">
        <f>BI81</f>
        <v>800.75193187710227</v>
      </c>
      <c r="BK82" s="183">
        <f>42.49*0.98*(1+(($E$80-$E$57)/$E$57))</f>
        <v>42.404173998218674</v>
      </c>
      <c r="BL82" s="184">
        <f>9.2*0.98*(1+(($E$80-$E$57)/$E$57))</f>
        <v>9.1814168223961357</v>
      </c>
      <c r="BM82" s="176">
        <v>25.63</v>
      </c>
      <c r="BO82" s="31"/>
      <c r="BP82" s="31"/>
      <c r="BQ82" s="31"/>
    </row>
    <row r="83" spans="2:69" s="149" customFormat="1" ht="11.1" customHeight="1" x14ac:dyDescent="0.2">
      <c r="B83" s="398"/>
      <c r="C83" s="97">
        <v>41334</v>
      </c>
      <c r="D83" s="98">
        <v>406.85583781656413</v>
      </c>
      <c r="E83" s="111">
        <f t="shared" si="51"/>
        <v>405.26625569014141</v>
      </c>
      <c r="F83" s="108">
        <f t="shared" si="50"/>
        <v>3.1223790792114342E-4</v>
      </c>
      <c r="H83" s="64"/>
      <c r="I83" s="69">
        <f>I81</f>
        <v>24.760673430459811</v>
      </c>
      <c r="K83" s="42"/>
      <c r="L83" s="52">
        <f>L81</f>
        <v>35.401539680138264</v>
      </c>
      <c r="N83" s="64"/>
      <c r="O83" s="69">
        <f>O81</f>
        <v>7532616.1668487154</v>
      </c>
      <c r="P83" s="31"/>
      <c r="Q83" s="42"/>
      <c r="R83" s="52">
        <f>R81</f>
        <v>8910017.6403758824</v>
      </c>
      <c r="Z83" s="232"/>
      <c r="AA83" s="232"/>
      <c r="AB83" s="232"/>
      <c r="AC83" s="232"/>
      <c r="AD83" s="232"/>
      <c r="AF83" s="116"/>
      <c r="AG83" s="69">
        <f>AG81</f>
        <v>70.118081080603531</v>
      </c>
      <c r="AH83" s="31"/>
      <c r="AI83" s="125"/>
      <c r="AJ83" s="52">
        <f>AJ81</f>
        <v>26880299.123980682</v>
      </c>
      <c r="AL83" s="139">
        <f t="shared" si="52"/>
        <v>52.83108752552176</v>
      </c>
      <c r="AM83" s="69">
        <f t="shared" si="53"/>
        <v>155.06187155146728</v>
      </c>
      <c r="AO83" s="42"/>
      <c r="AP83" s="153">
        <f>AP81</f>
        <v>60.018522575967779</v>
      </c>
      <c r="AQ83" s="52">
        <f>AQ81</f>
        <v>137.72933304952926</v>
      </c>
      <c r="AS83" s="31"/>
      <c r="AT83" s="31"/>
      <c r="AY83" s="129"/>
      <c r="AZ83" s="52">
        <f t="shared" ref="AZ83:AZ92" si="54">+AZ82</f>
        <v>15.299034770362256</v>
      </c>
      <c r="BB83" s="31"/>
      <c r="BC83" s="31"/>
      <c r="BE83" s="129"/>
      <c r="BF83" s="52">
        <f>BF81</f>
        <v>674.9971049317063</v>
      </c>
      <c r="BH83" s="121"/>
      <c r="BI83" s="69">
        <f>BI81</f>
        <v>800.75193187710227</v>
      </c>
      <c r="BK83" s="223">
        <f t="shared" ref="BK83:BK92" si="55">BK82</f>
        <v>42.404173998218674</v>
      </c>
      <c r="BL83" s="224">
        <f t="shared" ref="BL83:BL92" si="56">BL82</f>
        <v>9.1814168223961357</v>
      </c>
      <c r="BM83" s="224">
        <f>BM82</f>
        <v>25.63</v>
      </c>
      <c r="BO83" s="31"/>
      <c r="BP83" s="31"/>
      <c r="BQ83" s="31"/>
    </row>
    <row r="84" spans="2:69" s="149" customFormat="1" ht="11.1" customHeight="1" x14ac:dyDescent="0.2">
      <c r="B84" s="398"/>
      <c r="C84" s="97">
        <v>41365</v>
      </c>
      <c r="D84" s="98">
        <v>408.85820192939974</v>
      </c>
      <c r="E84" s="111">
        <f t="shared" si="51"/>
        <v>405.2834734302192</v>
      </c>
      <c r="F84" s="108">
        <f t="shared" si="50"/>
        <v>4.2485007907890574E-5</v>
      </c>
      <c r="H84" s="64"/>
      <c r="I84" s="69">
        <f>I81</f>
        <v>24.760673430459811</v>
      </c>
      <c r="K84" s="42"/>
      <c r="L84" s="52">
        <f>L81</f>
        <v>35.401539680138264</v>
      </c>
      <c r="N84" s="64"/>
      <c r="O84" s="69">
        <f>O81</f>
        <v>7532616.1668487154</v>
      </c>
      <c r="P84" s="31"/>
      <c r="Q84" s="42"/>
      <c r="R84" s="52">
        <f>R81</f>
        <v>8910017.6403758824</v>
      </c>
      <c r="Z84" s="232"/>
      <c r="AA84" s="232"/>
      <c r="AB84" s="232"/>
      <c r="AC84" s="232"/>
      <c r="AD84" s="232"/>
      <c r="AF84" s="116"/>
      <c r="AG84" s="69">
        <f>AG81</f>
        <v>70.118081080603531</v>
      </c>
      <c r="AH84" s="31"/>
      <c r="AI84" s="125"/>
      <c r="AJ84" s="52">
        <f>AJ81</f>
        <v>26880299.123980682</v>
      </c>
      <c r="AL84" s="139">
        <f t="shared" si="52"/>
        <v>52.847583393763934</v>
      </c>
      <c r="AM84" s="69">
        <f t="shared" si="53"/>
        <v>155.11028774583886</v>
      </c>
      <c r="AO84" s="42"/>
      <c r="AP84" s="153">
        <f>AP81</f>
        <v>60.018522575967779</v>
      </c>
      <c r="AQ84" s="52">
        <f>AQ81</f>
        <v>137.72933304952926</v>
      </c>
      <c r="AS84" s="31"/>
      <c r="AT84" s="31"/>
      <c r="AY84" s="129"/>
      <c r="AZ84" s="52">
        <f t="shared" si="54"/>
        <v>15.299034770362256</v>
      </c>
      <c r="BB84" s="31"/>
      <c r="BC84" s="31"/>
      <c r="BE84" s="129"/>
      <c r="BF84" s="52">
        <f>BF81</f>
        <v>674.9971049317063</v>
      </c>
      <c r="BH84" s="121"/>
      <c r="BI84" s="69">
        <f>BI81</f>
        <v>800.75193187710227</v>
      </c>
      <c r="BK84" s="129">
        <f t="shared" si="55"/>
        <v>42.404173998218674</v>
      </c>
      <c r="BL84" s="52">
        <f t="shared" si="56"/>
        <v>9.1814168223961357</v>
      </c>
      <c r="BM84" s="52">
        <f t="shared" ref="BM84:BM92" si="57">BM83</f>
        <v>25.63</v>
      </c>
      <c r="BO84" s="31"/>
      <c r="BP84" s="31"/>
      <c r="BQ84" s="31"/>
    </row>
    <row r="85" spans="2:69" s="149" customFormat="1" ht="11.1" customHeight="1" x14ac:dyDescent="0.2">
      <c r="B85" s="398"/>
      <c r="C85" s="97">
        <v>41395</v>
      </c>
      <c r="D85" s="98">
        <v>414.39161053633694</v>
      </c>
      <c r="E85" s="111">
        <f t="shared" si="51"/>
        <v>405.66499025766933</v>
      </c>
      <c r="F85" s="108">
        <f t="shared" si="50"/>
        <v>9.4135796908041507E-4</v>
      </c>
      <c r="H85" s="64"/>
      <c r="I85" s="69">
        <f>I81</f>
        <v>24.760673430459811</v>
      </c>
      <c r="K85" s="42"/>
      <c r="L85" s="52">
        <f>L81</f>
        <v>35.401539680138264</v>
      </c>
      <c r="N85" s="64"/>
      <c r="O85" s="69">
        <f>O81</f>
        <v>7532616.1668487154</v>
      </c>
      <c r="P85" s="31"/>
      <c r="Q85" s="42"/>
      <c r="R85" s="52">
        <f>R81</f>
        <v>8910017.6403758824</v>
      </c>
      <c r="Z85" s="232"/>
      <c r="AA85" s="232"/>
      <c r="AB85" s="232"/>
      <c r="AC85" s="232"/>
      <c r="AD85" s="232"/>
      <c r="AF85" s="115"/>
      <c r="AG85" s="72">
        <f>AG81</f>
        <v>70.118081080603531</v>
      </c>
      <c r="AH85" s="31"/>
      <c r="AI85" s="124"/>
      <c r="AJ85" s="54">
        <f>AJ81</f>
        <v>26880299.123980682</v>
      </c>
      <c r="AL85" s="139">
        <f t="shared" si="52"/>
        <v>52.849828623762335</v>
      </c>
      <c r="AM85" s="69">
        <f t="shared" si="53"/>
        <v>155.11687760764033</v>
      </c>
      <c r="AO85" s="42"/>
      <c r="AP85" s="153">
        <f>AP81</f>
        <v>60.018522575967779</v>
      </c>
      <c r="AQ85" s="52">
        <f>AQ81</f>
        <v>137.72933304952926</v>
      </c>
      <c r="AS85" s="31"/>
      <c r="AT85" s="31"/>
      <c r="AY85" s="129"/>
      <c r="AZ85" s="52">
        <f t="shared" si="54"/>
        <v>15.299034770362256</v>
      </c>
      <c r="BB85" s="31"/>
      <c r="BC85" s="31"/>
      <c r="BE85" s="129"/>
      <c r="BF85" s="52">
        <f>BF81</f>
        <v>674.9971049317063</v>
      </c>
      <c r="BH85" s="121"/>
      <c r="BI85" s="69">
        <f>BI81</f>
        <v>800.75193187710227</v>
      </c>
      <c r="BK85" s="129">
        <f t="shared" si="55"/>
        <v>42.404173998218674</v>
      </c>
      <c r="BL85" s="52">
        <f t="shared" si="56"/>
        <v>9.1814168223961357</v>
      </c>
      <c r="BM85" s="52">
        <f t="shared" si="57"/>
        <v>25.63</v>
      </c>
      <c r="BO85" s="31"/>
      <c r="BP85" s="31"/>
      <c r="BQ85" s="31"/>
    </row>
    <row r="86" spans="2:69" s="149" customFormat="1" ht="11.1" customHeight="1" x14ac:dyDescent="0.2">
      <c r="B86" s="398"/>
      <c r="C86" s="97">
        <v>41426</v>
      </c>
      <c r="D86" s="98">
        <v>417.81</v>
      </c>
      <c r="E86" s="111">
        <f t="shared" si="40"/>
        <v>406.04481413381546</v>
      </c>
      <c r="F86" s="108">
        <f t="shared" si="50"/>
        <v>9.3629937329538302E-4</v>
      </c>
      <c r="H86" s="64"/>
      <c r="I86" s="69">
        <f>I81</f>
        <v>24.760673430459811</v>
      </c>
      <c r="K86" s="42"/>
      <c r="L86" s="52">
        <f>L81</f>
        <v>35.401539680138264</v>
      </c>
      <c r="N86" s="64"/>
      <c r="O86" s="69">
        <f>O81</f>
        <v>7532616.1668487154</v>
      </c>
      <c r="P86" s="31"/>
      <c r="Q86" s="42"/>
      <c r="R86" s="52">
        <f>R81</f>
        <v>8910017.6403758824</v>
      </c>
      <c r="Z86" s="232"/>
      <c r="AA86" s="232"/>
      <c r="AB86" s="232"/>
      <c r="AC86" s="232"/>
      <c r="AD86" s="232"/>
      <c r="AF86" s="116"/>
      <c r="AG86" s="69">
        <f>AG81</f>
        <v>70.118081080603531</v>
      </c>
      <c r="AH86" s="31"/>
      <c r="AI86" s="125"/>
      <c r="AJ86" s="52">
        <f>AJ81</f>
        <v>26880299.123980682</v>
      </c>
      <c r="AL86" s="139">
        <f t="shared" si="52"/>
        <v>52.899579231101853</v>
      </c>
      <c r="AM86" s="69">
        <f t="shared" si="53"/>
        <v>155.26289811651517</v>
      </c>
      <c r="AO86" s="42"/>
      <c r="AP86" s="153">
        <f>AP81</f>
        <v>60.018522575967779</v>
      </c>
      <c r="AQ86" s="52">
        <f>AQ81</f>
        <v>137.72933304952926</v>
      </c>
      <c r="AS86" s="31"/>
      <c r="AT86" s="31"/>
      <c r="AY86" s="129"/>
      <c r="AZ86" s="52">
        <f t="shared" si="54"/>
        <v>15.299034770362256</v>
      </c>
      <c r="BB86" s="31"/>
      <c r="BC86" s="31"/>
      <c r="BE86" s="129"/>
      <c r="BF86" s="52">
        <f>BF81</f>
        <v>674.9971049317063</v>
      </c>
      <c r="BH86" s="121"/>
      <c r="BI86" s="69">
        <f>BI81</f>
        <v>800.75193187710227</v>
      </c>
      <c r="BK86" s="129">
        <f t="shared" si="55"/>
        <v>42.404173998218674</v>
      </c>
      <c r="BL86" s="52">
        <f t="shared" si="56"/>
        <v>9.1814168223961357</v>
      </c>
      <c r="BM86" s="52">
        <f t="shared" si="57"/>
        <v>25.63</v>
      </c>
      <c r="BO86" s="31"/>
      <c r="BP86" s="31"/>
      <c r="BQ86" s="31"/>
    </row>
    <row r="87" spans="2:69" s="149" customFormat="1" ht="11.1" customHeight="1" x14ac:dyDescent="0.2">
      <c r="B87" s="398"/>
      <c r="C87" s="97">
        <v>41456</v>
      </c>
      <c r="D87" s="98">
        <v>414.77</v>
      </c>
      <c r="E87" s="111">
        <f t="shared" si="40"/>
        <v>407.20502565561702</v>
      </c>
      <c r="F87" s="108">
        <f t="shared" si="50"/>
        <v>2.8573484537083621E-3</v>
      </c>
      <c r="H87" s="64"/>
      <c r="I87" s="69">
        <f>I81</f>
        <v>24.760673430459811</v>
      </c>
      <c r="K87" s="42"/>
      <c r="L87" s="52">
        <f>L81</f>
        <v>35.401539680138264</v>
      </c>
      <c r="N87" s="64"/>
      <c r="O87" s="69">
        <f>O81</f>
        <v>7532616.1668487154</v>
      </c>
      <c r="P87" s="31"/>
      <c r="Q87" s="42"/>
      <c r="R87" s="52">
        <f>R81</f>
        <v>8910017.6403758824</v>
      </c>
      <c r="Z87" s="232"/>
      <c r="AA87" s="232"/>
      <c r="AB87" s="232"/>
      <c r="AC87" s="232"/>
      <c r="AD87" s="232"/>
      <c r="AF87" s="116"/>
      <c r="AG87" s="69">
        <f>AG81</f>
        <v>70.118081080603531</v>
      </c>
      <c r="AH87" s="31"/>
      <c r="AI87" s="125"/>
      <c r="AJ87" s="52">
        <f>AJ81</f>
        <v>26880299.123980682</v>
      </c>
      <c r="AL87" s="139">
        <f t="shared" si="52"/>
        <v>52.949109073983522</v>
      </c>
      <c r="AM87" s="69">
        <f t="shared" si="53"/>
        <v>155.40827067071768</v>
      </c>
      <c r="AO87" s="42"/>
      <c r="AP87" s="153">
        <f>AP81</f>
        <v>60.018522575967779</v>
      </c>
      <c r="AQ87" s="52">
        <f>AQ81</f>
        <v>137.72933304952926</v>
      </c>
      <c r="AS87" s="31"/>
      <c r="AT87" s="31"/>
      <c r="AY87" s="129"/>
      <c r="AZ87" s="52">
        <f t="shared" si="54"/>
        <v>15.299034770362256</v>
      </c>
      <c r="BB87" s="31"/>
      <c r="BC87" s="31"/>
      <c r="BE87" s="129"/>
      <c r="BF87" s="52">
        <f>BF81</f>
        <v>674.9971049317063</v>
      </c>
      <c r="BH87" s="121"/>
      <c r="BI87" s="69">
        <f>BI81</f>
        <v>800.75193187710227</v>
      </c>
      <c r="BK87" s="129">
        <f t="shared" si="55"/>
        <v>42.404173998218674</v>
      </c>
      <c r="BL87" s="52">
        <f t="shared" si="56"/>
        <v>9.1814168223961357</v>
      </c>
      <c r="BM87" s="52">
        <f t="shared" si="57"/>
        <v>25.63</v>
      </c>
      <c r="BO87" s="31"/>
      <c r="BP87" s="31"/>
      <c r="BQ87" s="31"/>
    </row>
    <row r="88" spans="2:69" s="149" customFormat="1" ht="11.1" customHeight="1" x14ac:dyDescent="0.2">
      <c r="B88" s="398"/>
      <c r="C88" s="97">
        <v>41487</v>
      </c>
      <c r="D88" s="98">
        <v>418.5</v>
      </c>
      <c r="E88" s="111">
        <f t="shared" si="40"/>
        <v>408.10039618829359</v>
      </c>
      <c r="F88" s="108">
        <f t="shared" si="50"/>
        <v>2.1988199463770907E-3</v>
      </c>
      <c r="H88" s="64"/>
      <c r="I88" s="69">
        <f>I81</f>
        <v>24.760673430459811</v>
      </c>
      <c r="K88" s="42"/>
      <c r="L88" s="52">
        <f>L81</f>
        <v>35.401539680138264</v>
      </c>
      <c r="N88" s="64"/>
      <c r="O88" s="69">
        <f>O81</f>
        <v>7532616.1668487154</v>
      </c>
      <c r="P88" s="31"/>
      <c r="Q88" s="42"/>
      <c r="R88" s="52">
        <f>R81</f>
        <v>8910017.6403758824</v>
      </c>
      <c r="Z88" s="232"/>
      <c r="AA88" s="232"/>
      <c r="AB88" s="232"/>
      <c r="AC88" s="232"/>
      <c r="AD88" s="232"/>
      <c r="AF88" s="116"/>
      <c r="AG88" s="69">
        <f>AG81</f>
        <v>70.118081080603531</v>
      </c>
      <c r="AH88" s="31"/>
      <c r="AI88" s="125"/>
      <c r="AJ88" s="52">
        <f>AJ81</f>
        <v>26880299.123980682</v>
      </c>
      <c r="AL88" s="139">
        <f t="shared" si="52"/>
        <v>53.100403128921307</v>
      </c>
      <c r="AM88" s="69">
        <f t="shared" si="53"/>
        <v>155.85232625261216</v>
      </c>
      <c r="AO88" s="42"/>
      <c r="AP88" s="153">
        <f>AP81</f>
        <v>60.018522575967779</v>
      </c>
      <c r="AQ88" s="52">
        <f>AQ81</f>
        <v>137.72933304952926</v>
      </c>
      <c r="AS88" s="31"/>
      <c r="AT88" s="31"/>
      <c r="AY88" s="129"/>
      <c r="AZ88" s="52">
        <f t="shared" si="54"/>
        <v>15.299034770362256</v>
      </c>
      <c r="BB88" s="31"/>
      <c r="BC88" s="31"/>
      <c r="BE88" s="129"/>
      <c r="BF88" s="52">
        <f>BF81</f>
        <v>674.9971049317063</v>
      </c>
      <c r="BH88" s="121"/>
      <c r="BI88" s="69">
        <f>BI81</f>
        <v>800.75193187710227</v>
      </c>
      <c r="BK88" s="129">
        <f t="shared" si="55"/>
        <v>42.404173998218674</v>
      </c>
      <c r="BL88" s="52">
        <f t="shared" si="56"/>
        <v>9.1814168223961357</v>
      </c>
      <c r="BM88" s="52">
        <f t="shared" si="57"/>
        <v>25.63</v>
      </c>
      <c r="BO88" s="31"/>
      <c r="BP88" s="31"/>
      <c r="BQ88" s="31"/>
    </row>
    <row r="89" spans="2:69" s="149" customFormat="1" ht="11.1" customHeight="1" x14ac:dyDescent="0.2">
      <c r="B89" s="398"/>
      <c r="C89" s="97">
        <v>41518</v>
      </c>
      <c r="D89" s="98">
        <v>416.58</v>
      </c>
      <c r="E89" s="111">
        <f t="shared" ref="E89:E98" si="58">AVERAGE(D77:D88)</f>
        <v>408.95696198673659</v>
      </c>
      <c r="F89" s="108">
        <f t="shared" ref="F89:F97" si="59">(E89-E88)/E88</f>
        <v>2.0989094998275599E-3</v>
      </c>
      <c r="H89" s="64"/>
      <c r="I89" s="69">
        <f>I81</f>
        <v>24.760673430459811</v>
      </c>
      <c r="K89" s="42"/>
      <c r="L89" s="52">
        <f>L81</f>
        <v>35.401539680138264</v>
      </c>
      <c r="N89" s="64"/>
      <c r="O89" s="69">
        <f>O81</f>
        <v>7532616.1668487154</v>
      </c>
      <c r="P89" s="31"/>
      <c r="Q89" s="42"/>
      <c r="R89" s="52">
        <f>R81</f>
        <v>8910017.6403758824</v>
      </c>
      <c r="Z89" s="232"/>
      <c r="AA89" s="232"/>
      <c r="AB89" s="232"/>
      <c r="AC89" s="232"/>
      <c r="AD89" s="232"/>
      <c r="AF89" s="116"/>
      <c r="AG89" s="69">
        <f>AG81</f>
        <v>70.118081080603531</v>
      </c>
      <c r="AH89" s="31"/>
      <c r="AI89" s="125"/>
      <c r="AJ89" s="52">
        <f>AJ81</f>
        <v>26880299.123980682</v>
      </c>
      <c r="AL89" s="139">
        <f t="shared" si="52"/>
        <v>53.217161354481846</v>
      </c>
      <c r="AM89" s="69">
        <f t="shared" si="53"/>
        <v>156.19501745626567</v>
      </c>
      <c r="AO89" s="42"/>
      <c r="AP89" s="153">
        <f>AP81</f>
        <v>60.018522575967779</v>
      </c>
      <c r="AQ89" s="52">
        <f>AQ81</f>
        <v>137.72933304952926</v>
      </c>
      <c r="AS89" s="31"/>
      <c r="AT89" s="31"/>
      <c r="AY89" s="129"/>
      <c r="AZ89" s="52">
        <f t="shared" si="54"/>
        <v>15.299034770362256</v>
      </c>
      <c r="BB89" s="31"/>
      <c r="BC89" s="31"/>
      <c r="BE89" s="129"/>
      <c r="BF89" s="52">
        <f>BF81</f>
        <v>674.9971049317063</v>
      </c>
      <c r="BH89" s="121"/>
      <c r="BI89" s="69">
        <f>BI81</f>
        <v>800.75193187710227</v>
      </c>
      <c r="BK89" s="129">
        <f t="shared" si="55"/>
        <v>42.404173998218674</v>
      </c>
      <c r="BL89" s="52">
        <f t="shared" si="56"/>
        <v>9.1814168223961357</v>
      </c>
      <c r="BM89" s="52">
        <f t="shared" si="57"/>
        <v>25.63</v>
      </c>
      <c r="BO89" s="31"/>
      <c r="BP89" s="31"/>
      <c r="BQ89" s="31"/>
    </row>
    <row r="90" spans="2:69" s="149" customFormat="1" ht="11.1" customHeight="1" x14ac:dyDescent="0.2">
      <c r="B90" s="398"/>
      <c r="C90" s="97">
        <v>41548</v>
      </c>
      <c r="D90" s="98">
        <v>413.29699547925571</v>
      </c>
      <c r="E90" s="111">
        <f t="shared" si="58"/>
        <v>409.79283861763935</v>
      </c>
      <c r="F90" s="108">
        <f t="shared" si="59"/>
        <v>2.04392322077615E-3</v>
      </c>
      <c r="H90" s="64"/>
      <c r="I90" s="69">
        <f>I81</f>
        <v>24.760673430459811</v>
      </c>
      <c r="K90" s="42"/>
      <c r="L90" s="52">
        <f>L81</f>
        <v>35.401539680138264</v>
      </c>
      <c r="N90" s="64"/>
      <c r="O90" s="69">
        <f>O81</f>
        <v>7532616.1668487154</v>
      </c>
      <c r="P90" s="31"/>
      <c r="Q90" s="42"/>
      <c r="R90" s="52">
        <f>R81</f>
        <v>8910017.6403758824</v>
      </c>
      <c r="Z90" s="232"/>
      <c r="AA90" s="232"/>
      <c r="AB90" s="232"/>
      <c r="AC90" s="232"/>
      <c r="AD90" s="232"/>
      <c r="AF90" s="116"/>
      <c r="AG90" s="69">
        <f>AG81</f>
        <v>70.118081080603531</v>
      </c>
      <c r="AH90" s="31"/>
      <c r="AI90" s="125"/>
      <c r="AJ90" s="52">
        <f>AJ81</f>
        <v>26880299.123980682</v>
      </c>
      <c r="AL90" s="139">
        <f t="shared" si="52"/>
        <v>53.328859360002625</v>
      </c>
      <c r="AM90" s="69">
        <f t="shared" si="53"/>
        <v>156.52285666223037</v>
      </c>
      <c r="AO90" s="42"/>
      <c r="AP90" s="153">
        <f>AP81</f>
        <v>60.018522575967779</v>
      </c>
      <c r="AQ90" s="52">
        <f>AQ81</f>
        <v>137.72933304952926</v>
      </c>
      <c r="AS90" s="31"/>
      <c r="AT90" s="31"/>
      <c r="AY90" s="129"/>
      <c r="AZ90" s="52">
        <f t="shared" si="54"/>
        <v>15.299034770362256</v>
      </c>
      <c r="BB90" s="31"/>
      <c r="BC90" s="31"/>
      <c r="BE90" s="129"/>
      <c r="BF90" s="52">
        <f>BF81</f>
        <v>674.9971049317063</v>
      </c>
      <c r="BH90" s="121"/>
      <c r="BI90" s="69">
        <f>BI81</f>
        <v>800.75193187710227</v>
      </c>
      <c r="BK90" s="129">
        <f t="shared" si="55"/>
        <v>42.404173998218674</v>
      </c>
      <c r="BL90" s="52">
        <f t="shared" si="56"/>
        <v>9.1814168223961357</v>
      </c>
      <c r="BM90" s="52">
        <f t="shared" si="57"/>
        <v>25.63</v>
      </c>
      <c r="BO90" s="31"/>
      <c r="BP90" s="31"/>
      <c r="BQ90" s="31"/>
    </row>
    <row r="91" spans="2:69" s="149" customFormat="1" ht="11.1" customHeight="1" x14ac:dyDescent="0.2">
      <c r="B91" s="398"/>
      <c r="C91" s="97">
        <v>41579</v>
      </c>
      <c r="D91" s="98">
        <v>416.89164971170288</v>
      </c>
      <c r="E91" s="111">
        <f t="shared" si="58"/>
        <v>410.37747238245362</v>
      </c>
      <c r="F91" s="108">
        <f t="shared" si="59"/>
        <v>1.4266568610286725E-3</v>
      </c>
      <c r="H91" s="64"/>
      <c r="I91" s="69">
        <f>I81</f>
        <v>24.760673430459811</v>
      </c>
      <c r="K91" s="42"/>
      <c r="L91" s="52">
        <f>L81</f>
        <v>35.401539680138264</v>
      </c>
      <c r="N91" s="64"/>
      <c r="O91" s="69">
        <f>O81</f>
        <v>7532616.1668487154</v>
      </c>
      <c r="P91" s="31"/>
      <c r="Q91" s="42"/>
      <c r="R91" s="52">
        <f>R81</f>
        <v>8910017.6403758824</v>
      </c>
      <c r="Z91" s="232"/>
      <c r="AA91" s="232"/>
      <c r="AB91" s="232"/>
      <c r="AC91" s="232"/>
      <c r="AD91" s="232"/>
      <c r="AF91" s="116"/>
      <c r="AG91" s="69">
        <f>AG81</f>
        <v>70.118081080603531</v>
      </c>
      <c r="AH91" s="31"/>
      <c r="AI91" s="125"/>
      <c r="AJ91" s="52">
        <f>AJ81</f>
        <v>26880299.123980682</v>
      </c>
      <c r="AL91" s="139">
        <f t="shared" si="52"/>
        <v>53.437859453986036</v>
      </c>
      <c r="AM91" s="69">
        <f t="shared" si="53"/>
        <v>156.84277736354451</v>
      </c>
      <c r="AO91" s="42"/>
      <c r="AP91" s="153">
        <f>AP81</f>
        <v>60.018522575967779</v>
      </c>
      <c r="AQ91" s="52">
        <f>AQ81</f>
        <v>137.72933304952926</v>
      </c>
      <c r="AS91" s="31"/>
      <c r="AT91" s="31"/>
      <c r="AY91" s="129"/>
      <c r="AZ91" s="52">
        <f t="shared" si="54"/>
        <v>15.299034770362256</v>
      </c>
      <c r="BB91" s="31"/>
      <c r="BC91" s="31"/>
      <c r="BE91" s="129"/>
      <c r="BF91" s="52">
        <f>BF81</f>
        <v>674.9971049317063</v>
      </c>
      <c r="BH91" s="121"/>
      <c r="BI91" s="69">
        <f>BI81</f>
        <v>800.75193187710227</v>
      </c>
      <c r="BK91" s="129">
        <f t="shared" si="55"/>
        <v>42.404173998218674</v>
      </c>
      <c r="BL91" s="52">
        <f t="shared" si="56"/>
        <v>9.1814168223961357</v>
      </c>
      <c r="BM91" s="52">
        <f t="shared" si="57"/>
        <v>25.63</v>
      </c>
      <c r="BO91" s="31"/>
      <c r="BP91" s="31"/>
      <c r="BQ91" s="31"/>
    </row>
    <row r="92" spans="2:69" s="149" customFormat="1" ht="11.1" customHeight="1" thickBot="1" x14ac:dyDescent="0.25">
      <c r="B92" s="398"/>
      <c r="C92" s="110">
        <v>41609</v>
      </c>
      <c r="D92" s="111">
        <v>416.62138153036528</v>
      </c>
      <c r="E92" s="111">
        <f t="shared" si="58"/>
        <v>411.23173864052654</v>
      </c>
      <c r="F92" s="108">
        <f t="shared" si="59"/>
        <v>2.0816597293059676E-3</v>
      </c>
      <c r="H92" s="71"/>
      <c r="I92" s="72">
        <f>I81</f>
        <v>24.760673430459811</v>
      </c>
      <c r="K92" s="58"/>
      <c r="L92" s="56">
        <f>L81</f>
        <v>35.401539680138264</v>
      </c>
      <c r="N92" s="74"/>
      <c r="O92" s="67">
        <f>O81</f>
        <v>7532616.1668487154</v>
      </c>
      <c r="P92" s="31"/>
      <c r="Q92" s="58"/>
      <c r="R92" s="56">
        <f>R81</f>
        <v>8910017.6403758824</v>
      </c>
      <c r="Z92" s="232"/>
      <c r="AA92" s="232"/>
      <c r="AB92" s="232"/>
      <c r="AC92" s="232"/>
      <c r="AD92" s="232"/>
      <c r="AF92" s="117"/>
      <c r="AG92" s="243">
        <f>AG81</f>
        <v>70.118081080603531</v>
      </c>
      <c r="AH92" s="31"/>
      <c r="AI92" s="126"/>
      <c r="AJ92" s="247">
        <f>AJ81</f>
        <v>26880299.123980682</v>
      </c>
      <c r="AL92" s="138">
        <f t="shared" si="52"/>
        <v>53.514096942814746</v>
      </c>
      <c r="AM92" s="67">
        <f t="shared" si="53"/>
        <v>157.06653818797301</v>
      </c>
      <c r="AO92" s="58"/>
      <c r="AP92" s="170">
        <f>AP81</f>
        <v>60.018522575967779</v>
      </c>
      <c r="AQ92" s="56">
        <f>AQ81</f>
        <v>137.72933304952926</v>
      </c>
      <c r="AS92" s="31"/>
      <c r="AT92" s="31"/>
      <c r="AY92" s="177"/>
      <c r="AZ92" s="52">
        <f t="shared" si="54"/>
        <v>15.299034770362256</v>
      </c>
      <c r="BB92" s="31"/>
      <c r="BC92" s="31"/>
      <c r="BE92" s="177"/>
      <c r="BF92" s="56">
        <f>BF81</f>
        <v>674.9971049317063</v>
      </c>
      <c r="BH92" s="179"/>
      <c r="BI92" s="67">
        <f>BI81</f>
        <v>800.75193187710227</v>
      </c>
      <c r="BK92" s="177">
        <f t="shared" si="55"/>
        <v>42.404173998218674</v>
      </c>
      <c r="BL92" s="56">
        <f t="shared" si="56"/>
        <v>9.1814168223961357</v>
      </c>
      <c r="BM92" s="56">
        <f t="shared" si="57"/>
        <v>25.63</v>
      </c>
      <c r="BO92" s="31"/>
      <c r="BP92" s="31"/>
      <c r="BQ92" s="31"/>
    </row>
    <row r="93" spans="2:69" s="149" customFormat="1" ht="11.1" customHeight="1" x14ac:dyDescent="0.2">
      <c r="B93" s="397">
        <v>2014</v>
      </c>
      <c r="C93" s="94">
        <v>41640</v>
      </c>
      <c r="D93" s="112">
        <v>427.93912482682953</v>
      </c>
      <c r="E93" s="112">
        <f>AVERAGE(D81:D92)</f>
        <v>412.77966438175719</v>
      </c>
      <c r="F93" s="109">
        <f t="shared" si="59"/>
        <v>3.7641203141271732E-3</v>
      </c>
      <c r="H93" s="62"/>
      <c r="I93" s="73">
        <f>(1+(($E$92-$E$14)/$E$14))*$H$20*0.98</f>
        <v>25.025000490944176</v>
      </c>
      <c r="K93" s="40"/>
      <c r="L93" s="57">
        <f>(1+(($E$92-$E$14)/$E$14))*K$20*0.98</f>
        <v>35.779460940904947</v>
      </c>
      <c r="N93" s="62"/>
      <c r="O93" s="73">
        <f>(1+(($E$92-$E$14)/$E$14))*N$20*0.98</f>
        <v>7613028.9348912342</v>
      </c>
      <c r="P93" s="31"/>
      <c r="Q93" s="40"/>
      <c r="R93" s="57">
        <f>(1+(($E$92-$E$14)/$E$14))*Q$20*0.98</f>
        <v>9005134.5514065474</v>
      </c>
      <c r="Z93" s="232"/>
      <c r="AA93" s="232"/>
      <c r="AB93" s="232"/>
      <c r="AC93" s="232"/>
      <c r="AD93" s="232"/>
      <c r="AF93" s="113">
        <v>56.87</v>
      </c>
      <c r="AG93" s="114">
        <f>AF93</f>
        <v>56.87</v>
      </c>
      <c r="AH93" s="31"/>
      <c r="AI93" s="122">
        <v>24194897.289999999</v>
      </c>
      <c r="AJ93" s="246">
        <f>+AI93</f>
        <v>24194897.289999999</v>
      </c>
      <c r="AL93" s="148">
        <f>AL92*(1+F92)*0.98</f>
        <v>52.55298518170337</v>
      </c>
      <c r="AM93" s="73">
        <f>AM92*(1+F92)*0.98</f>
        <v>154.24562732983361</v>
      </c>
      <c r="AO93" s="40"/>
      <c r="AP93" s="172">
        <f>30.07*0.98*(1+(($E$92-$E$57)/$E$57))</f>
        <v>30.329618480442228</v>
      </c>
      <c r="AQ93" s="173">
        <f>AP$20*0.98*(1+(($E$92-$E$14)/$E$14))</f>
        <v>139.19963190265614</v>
      </c>
      <c r="AS93" s="31"/>
      <c r="AT93" s="31"/>
      <c r="AY93" s="183">
        <v>9.2799999999999994</v>
      </c>
      <c r="AZ93" s="176">
        <f>AY93</f>
        <v>9.2799999999999994</v>
      </c>
      <c r="BB93" s="31"/>
      <c r="BC93" s="31"/>
      <c r="BE93" s="128"/>
      <c r="BF93" s="176">
        <f>(BF81)*0.98*(1+(($E$92-$E$57)/$E$57))</f>
        <v>680.82489750521052</v>
      </c>
      <c r="BH93" s="120"/>
      <c r="BI93" s="178">
        <f>(BI81)*0.98*(1+(($E$92-$E$57)/$E$57))</f>
        <v>807.66546695409306</v>
      </c>
      <c r="BK93" s="122">
        <f>42.49*0.98*(1+(($E$92-$E$57)/$E$57))</f>
        <v>42.856850323711022</v>
      </c>
      <c r="BL93" s="176">
        <f>9.2*0.98*(1+(($E$92-$E$57)/$E$57))</f>
        <v>9.279430995013918</v>
      </c>
      <c r="BM93" s="176">
        <f>19.36*0.98*(1+(($E$92-$E$57)/$E$57))</f>
        <v>19.52715044168146</v>
      </c>
      <c r="BO93" s="31"/>
      <c r="BP93" s="31"/>
      <c r="BQ93" s="31"/>
    </row>
    <row r="94" spans="2:69" s="149" customFormat="1" ht="11.1" customHeight="1" x14ac:dyDescent="0.2">
      <c r="B94" s="398"/>
      <c r="C94" s="97">
        <v>41671</v>
      </c>
      <c r="D94" s="111">
        <v>433.4175187933659</v>
      </c>
      <c r="E94" s="111">
        <f t="shared" si="58"/>
        <v>414.90569192270027</v>
      </c>
      <c r="F94" s="108">
        <f t="shared" si="59"/>
        <v>5.1505142437851268E-3</v>
      </c>
      <c r="H94" s="64"/>
      <c r="I94" s="69">
        <f>I93</f>
        <v>25.025000490944176</v>
      </c>
      <c r="K94" s="42"/>
      <c r="L94" s="52">
        <f>L93</f>
        <v>35.779460940904947</v>
      </c>
      <c r="N94" s="64"/>
      <c r="O94" s="69">
        <f>O93</f>
        <v>7613028.9348912342</v>
      </c>
      <c r="P94" s="31"/>
      <c r="Q94" s="42"/>
      <c r="R94" s="52">
        <f>R93</f>
        <v>9005134.5514065474</v>
      </c>
      <c r="Z94" s="232"/>
      <c r="AA94" s="232"/>
      <c r="AB94" s="232"/>
      <c r="AC94" s="232"/>
      <c r="AD94" s="232"/>
      <c r="AF94" s="116"/>
      <c r="AG94" s="69">
        <f>+AG93</f>
        <v>56.87</v>
      </c>
      <c r="AH94" s="31"/>
      <c r="AI94" s="125"/>
      <c r="AJ94" s="52">
        <f>+AJ93</f>
        <v>24194897.289999999</v>
      </c>
      <c r="AL94" s="139">
        <f t="shared" ref="AL94:AL104" si="60">AL93*(1+F93)</f>
        <v>52.750800940793845</v>
      </c>
      <c r="AM94" s="69">
        <f t="shared" ref="AM94:AM104" si="61">AM93*(1+F93)</f>
        <v>154.82622642903112</v>
      </c>
      <c r="AO94" s="42"/>
      <c r="AP94" s="153">
        <f>AP93</f>
        <v>30.329618480442228</v>
      </c>
      <c r="AQ94" s="52">
        <f>AQ93</f>
        <v>139.19963190265614</v>
      </c>
      <c r="AS94" s="31"/>
      <c r="AT94" s="31"/>
      <c r="AY94" s="125"/>
      <c r="AZ94" s="52">
        <f>+AZ93</f>
        <v>9.2799999999999994</v>
      </c>
      <c r="BB94" s="31"/>
      <c r="BC94" s="31"/>
      <c r="BE94" s="129"/>
      <c r="BF94" s="52">
        <f>BF93</f>
        <v>680.82489750521052</v>
      </c>
      <c r="BH94" s="121"/>
      <c r="BI94" s="69">
        <f>BI93</f>
        <v>807.66546695409306</v>
      </c>
      <c r="BK94" s="125">
        <f t="shared" ref="BK94:BK116" si="62">BK93</f>
        <v>42.856850323711022</v>
      </c>
      <c r="BL94" s="52">
        <f>BL93</f>
        <v>9.279430995013918</v>
      </c>
      <c r="BM94" s="52">
        <f>BM93</f>
        <v>19.52715044168146</v>
      </c>
      <c r="BO94" s="31"/>
      <c r="BP94" s="31"/>
      <c r="BQ94" s="31"/>
    </row>
    <row r="95" spans="2:69" s="149" customFormat="1" ht="11.1" customHeight="1" x14ac:dyDescent="0.2">
      <c r="B95" s="398"/>
      <c r="C95" s="97">
        <v>41699</v>
      </c>
      <c r="D95" s="98">
        <v>428.53354494676535</v>
      </c>
      <c r="E95" s="111">
        <f t="shared" si="58"/>
        <v>417.16102671865161</v>
      </c>
      <c r="F95" s="108">
        <f t="shared" si="59"/>
        <v>5.4357769484915282E-3</v>
      </c>
      <c r="H95" s="64"/>
      <c r="I95" s="69">
        <f>I93</f>
        <v>25.025000490944176</v>
      </c>
      <c r="K95" s="42"/>
      <c r="L95" s="52">
        <f>L93</f>
        <v>35.779460940904947</v>
      </c>
      <c r="N95" s="64"/>
      <c r="O95" s="69">
        <f>O93</f>
        <v>7613028.9348912342</v>
      </c>
      <c r="P95" s="31"/>
      <c r="Q95" s="42"/>
      <c r="R95" s="52">
        <f>R93</f>
        <v>9005134.5514065474</v>
      </c>
      <c r="Z95" s="232"/>
      <c r="AA95" s="232"/>
      <c r="AB95" s="232"/>
      <c r="AC95" s="232"/>
      <c r="AD95" s="232"/>
      <c r="AF95" s="116"/>
      <c r="AG95" s="69">
        <f>+AG93</f>
        <v>56.87</v>
      </c>
      <c r="AH95" s="31"/>
      <c r="AI95" s="125"/>
      <c r="AJ95" s="52">
        <f>+AJ93</f>
        <v>24194897.289999999</v>
      </c>
      <c r="AL95" s="139">
        <f t="shared" si="60"/>
        <v>53.022494692410476</v>
      </c>
      <c r="AM95" s="69">
        <f t="shared" si="61"/>
        <v>155.62366111356533</v>
      </c>
      <c r="AO95" s="42"/>
      <c r="AP95" s="153">
        <f>AP93</f>
        <v>30.329618480442228</v>
      </c>
      <c r="AQ95" s="52">
        <f>AQ93</f>
        <v>139.19963190265614</v>
      </c>
      <c r="AS95" s="31"/>
      <c r="AT95" s="31"/>
      <c r="AY95" s="125"/>
      <c r="AZ95" s="52">
        <f>+AZ93</f>
        <v>9.2799999999999994</v>
      </c>
      <c r="BB95" s="31"/>
      <c r="BC95" s="31"/>
      <c r="BE95" s="129"/>
      <c r="BF95" s="52">
        <f>BF93</f>
        <v>680.82489750521052</v>
      </c>
      <c r="BH95" s="121"/>
      <c r="BI95" s="69">
        <f>BI93</f>
        <v>807.66546695409306</v>
      </c>
      <c r="BK95" s="129">
        <f t="shared" si="62"/>
        <v>42.856850323711022</v>
      </c>
      <c r="BL95" s="52">
        <f>BL93</f>
        <v>9.279430995013918</v>
      </c>
      <c r="BM95" s="52">
        <f>BM93</f>
        <v>19.52715044168146</v>
      </c>
      <c r="BO95" s="31"/>
      <c r="BP95" s="31"/>
      <c r="BQ95" s="31"/>
    </row>
    <row r="96" spans="2:69" s="149" customFormat="1" ht="11.1" customHeight="1" x14ac:dyDescent="0.2">
      <c r="B96" s="398"/>
      <c r="C96" s="97">
        <v>41730</v>
      </c>
      <c r="D96" s="98">
        <v>426.70786032071294</v>
      </c>
      <c r="E96" s="111">
        <f t="shared" si="58"/>
        <v>418.96750231283517</v>
      </c>
      <c r="F96" s="108">
        <f t="shared" si="59"/>
        <v>4.3304035575737155E-3</v>
      </c>
      <c r="H96" s="64"/>
      <c r="I96" s="69">
        <f>I93</f>
        <v>25.025000490944176</v>
      </c>
      <c r="K96" s="42"/>
      <c r="L96" s="52">
        <f>L93</f>
        <v>35.779460940904947</v>
      </c>
      <c r="N96" s="64"/>
      <c r="O96" s="69">
        <f>O93</f>
        <v>7613028.9348912342</v>
      </c>
      <c r="P96" s="31"/>
      <c r="Q96" s="42"/>
      <c r="R96" s="52">
        <f>R93</f>
        <v>9005134.5514065474</v>
      </c>
      <c r="Z96" s="232"/>
      <c r="AA96" s="232"/>
      <c r="AB96" s="232"/>
      <c r="AC96" s="232"/>
      <c r="AD96" s="232"/>
      <c r="AF96" s="116"/>
      <c r="AG96" s="69">
        <f>+AG93</f>
        <v>56.87</v>
      </c>
      <c r="AH96" s="31"/>
      <c r="AI96" s="125"/>
      <c r="AJ96" s="52">
        <f>+AJ93</f>
        <v>24194897.289999999</v>
      </c>
      <c r="AL96" s="139">
        <f t="shared" si="60"/>
        <v>53.310713146810997</v>
      </c>
      <c r="AM96" s="69">
        <f t="shared" si="61"/>
        <v>156.46959662328632</v>
      </c>
      <c r="AO96" s="42"/>
      <c r="AP96" s="153">
        <f>AP93</f>
        <v>30.329618480442228</v>
      </c>
      <c r="AQ96" s="52">
        <f>AQ93</f>
        <v>139.19963190265614</v>
      </c>
      <c r="AS96" s="31"/>
      <c r="AT96" s="31"/>
      <c r="AY96" s="125"/>
      <c r="AZ96" s="52">
        <f>+AZ93</f>
        <v>9.2799999999999994</v>
      </c>
      <c r="BB96" s="31"/>
      <c r="BC96" s="31"/>
      <c r="BE96" s="129"/>
      <c r="BF96" s="52">
        <f>BF93</f>
        <v>680.82489750521052</v>
      </c>
      <c r="BH96" s="121"/>
      <c r="BI96" s="69">
        <f>BI93</f>
        <v>807.66546695409306</v>
      </c>
      <c r="BK96" s="129">
        <f t="shared" si="62"/>
        <v>42.856850323711022</v>
      </c>
      <c r="BL96" s="52">
        <f>BL93</f>
        <v>9.279430995013918</v>
      </c>
      <c r="BM96" s="52">
        <f>BM93</f>
        <v>19.52715044168146</v>
      </c>
      <c r="BO96" s="31"/>
      <c r="BP96" s="31"/>
      <c r="BQ96" s="31"/>
    </row>
    <row r="97" spans="2:69" s="149" customFormat="1" ht="11.1" customHeight="1" x14ac:dyDescent="0.2">
      <c r="B97" s="398"/>
      <c r="C97" s="97">
        <v>41760</v>
      </c>
      <c r="D97" s="98">
        <v>423.62477522018924</v>
      </c>
      <c r="E97" s="111">
        <f t="shared" si="58"/>
        <v>420.45497384544456</v>
      </c>
      <c r="F97" s="108">
        <f t="shared" si="59"/>
        <v>3.5503267542185729E-3</v>
      </c>
      <c r="H97" s="64"/>
      <c r="I97" s="69">
        <f>I93</f>
        <v>25.025000490944176</v>
      </c>
      <c r="K97" s="42"/>
      <c r="L97" s="52">
        <f>L93</f>
        <v>35.779460940904947</v>
      </c>
      <c r="N97" s="64"/>
      <c r="O97" s="69">
        <f>O93</f>
        <v>7613028.9348912342</v>
      </c>
      <c r="P97" s="31"/>
      <c r="Q97" s="42"/>
      <c r="R97" s="52">
        <f>R93</f>
        <v>9005134.5514065474</v>
      </c>
      <c r="Z97" s="232"/>
      <c r="AA97" s="232"/>
      <c r="AB97" s="232"/>
      <c r="AC97" s="232"/>
      <c r="AD97" s="232"/>
      <c r="AF97" s="115"/>
      <c r="AG97" s="72">
        <f>+AG93</f>
        <v>56.87</v>
      </c>
      <c r="AH97" s="31"/>
      <c r="AI97" s="124"/>
      <c r="AJ97" s="54">
        <f>+AJ93</f>
        <v>24194897.289999999</v>
      </c>
      <c r="AL97" s="139">
        <f t="shared" si="60"/>
        <v>53.541570048678743</v>
      </c>
      <c r="AM97" s="69">
        <f t="shared" si="61"/>
        <v>157.14717312115593</v>
      </c>
      <c r="AO97" s="42"/>
      <c r="AP97" s="153">
        <f>AP93</f>
        <v>30.329618480442228</v>
      </c>
      <c r="AQ97" s="52">
        <f>AQ93</f>
        <v>139.19963190265614</v>
      </c>
      <c r="AS97" s="31"/>
      <c r="AT97" s="31"/>
      <c r="AY97" s="125"/>
      <c r="AZ97" s="52">
        <f>+AZ93</f>
        <v>9.2799999999999994</v>
      </c>
      <c r="BB97" s="31"/>
      <c r="BC97" s="31"/>
      <c r="BE97" s="129"/>
      <c r="BF97" s="52">
        <f>BF93</f>
        <v>680.82489750521052</v>
      </c>
      <c r="BH97" s="121"/>
      <c r="BI97" s="69">
        <f>BI93</f>
        <v>807.66546695409306</v>
      </c>
      <c r="BK97" s="129">
        <f t="shared" si="62"/>
        <v>42.856850323711022</v>
      </c>
      <c r="BL97" s="52">
        <f>BL93</f>
        <v>9.279430995013918</v>
      </c>
      <c r="BM97" s="52">
        <f>BM93</f>
        <v>19.52715044168146</v>
      </c>
      <c r="BO97" s="31"/>
      <c r="BP97" s="31"/>
      <c r="BQ97" s="31"/>
    </row>
    <row r="98" spans="2:69" s="149" customFormat="1" ht="11.1" customHeight="1" x14ac:dyDescent="0.2">
      <c r="B98" s="398"/>
      <c r="C98" s="97">
        <v>41791</v>
      </c>
      <c r="D98" s="98">
        <v>421.50828349965082</v>
      </c>
      <c r="E98" s="111">
        <f t="shared" si="58"/>
        <v>421.22440423576558</v>
      </c>
      <c r="F98" s="108">
        <f t="shared" ref="F98:F117" si="63">(E98-E97)/E97</f>
        <v>1.8299947394696666E-3</v>
      </c>
      <c r="H98" s="64"/>
      <c r="I98" s="69">
        <f>I93</f>
        <v>25.025000490944176</v>
      </c>
      <c r="K98" s="42"/>
      <c r="L98" s="52">
        <f>L93</f>
        <v>35.779460940904947</v>
      </c>
      <c r="N98" s="64"/>
      <c r="O98" s="69">
        <f>O93</f>
        <v>7613028.9348912342</v>
      </c>
      <c r="P98" s="31"/>
      <c r="Q98" s="42"/>
      <c r="R98" s="52">
        <f>R93</f>
        <v>9005134.5514065474</v>
      </c>
      <c r="Z98" s="232"/>
      <c r="AA98" s="232"/>
      <c r="AB98" s="232"/>
      <c r="AC98" s="232"/>
      <c r="AD98" s="232"/>
      <c r="AF98" s="116"/>
      <c r="AG98" s="69">
        <f>+AG93</f>
        <v>56.87</v>
      </c>
      <c r="AH98" s="31"/>
      <c r="AI98" s="125"/>
      <c r="AJ98" s="52">
        <f>+AJ93</f>
        <v>24194897.289999999</v>
      </c>
      <c r="AL98" s="139">
        <f t="shared" si="60"/>
        <v>53.731660117285429</v>
      </c>
      <c r="AM98" s="69">
        <f t="shared" si="61"/>
        <v>157.70509693423779</v>
      </c>
      <c r="AO98" s="42"/>
      <c r="AP98" s="153">
        <f>AP93</f>
        <v>30.329618480442228</v>
      </c>
      <c r="AQ98" s="52">
        <f>AQ93</f>
        <v>139.19963190265614</v>
      </c>
      <c r="AS98" s="31"/>
      <c r="AT98" s="31"/>
      <c r="AY98" s="125"/>
      <c r="AZ98" s="52">
        <f>+AZ93</f>
        <v>9.2799999999999994</v>
      </c>
      <c r="BB98" s="31"/>
      <c r="BC98" s="31"/>
      <c r="BE98" s="129"/>
      <c r="BF98" s="52">
        <f>BF93</f>
        <v>680.82489750521052</v>
      </c>
      <c r="BH98" s="121"/>
      <c r="BI98" s="69">
        <f>BI93</f>
        <v>807.66546695409306</v>
      </c>
      <c r="BK98" s="129">
        <f t="shared" si="62"/>
        <v>42.856850323711022</v>
      </c>
      <c r="BL98" s="52">
        <f>BL93</f>
        <v>9.279430995013918</v>
      </c>
      <c r="BM98" s="52">
        <f>BM93</f>
        <v>19.52715044168146</v>
      </c>
      <c r="BO98" s="31"/>
      <c r="BP98" s="31"/>
      <c r="BQ98" s="31"/>
    </row>
    <row r="99" spans="2:69" s="149" customFormat="1" ht="11.1" customHeight="1" x14ac:dyDescent="0.2">
      <c r="B99" s="398"/>
      <c r="C99" s="97">
        <v>41821</v>
      </c>
      <c r="D99" s="98">
        <v>420.18896750485101</v>
      </c>
      <c r="E99" s="111">
        <f t="shared" ref="E99:E120" si="64">AVERAGE(D87:D98)</f>
        <v>421.53259452740309</v>
      </c>
      <c r="F99" s="108">
        <f>(E99-E98)/E98</f>
        <v>7.3165345725082192E-4</v>
      </c>
      <c r="H99" s="64"/>
      <c r="I99" s="69">
        <f>I93</f>
        <v>25.025000490944176</v>
      </c>
      <c r="K99" s="42"/>
      <c r="L99" s="52">
        <f>L93</f>
        <v>35.779460940904947</v>
      </c>
      <c r="N99" s="64"/>
      <c r="O99" s="69">
        <f>O93</f>
        <v>7613028.9348912342</v>
      </c>
      <c r="P99" s="31"/>
      <c r="Q99" s="42"/>
      <c r="R99" s="52">
        <f>R93</f>
        <v>9005134.5514065474</v>
      </c>
      <c r="Z99" s="232"/>
      <c r="AA99" s="232"/>
      <c r="AB99" s="232"/>
      <c r="AC99" s="232"/>
      <c r="AD99" s="232"/>
      <c r="AF99" s="116"/>
      <c r="AG99" s="69">
        <f>+AG93</f>
        <v>56.87</v>
      </c>
      <c r="AH99" s="31"/>
      <c r="AI99" s="125"/>
      <c r="AJ99" s="52">
        <f>+AJ93</f>
        <v>24194897.289999999</v>
      </c>
      <c r="AL99" s="139">
        <f t="shared" si="60"/>
        <v>53.829988772643041</v>
      </c>
      <c r="AM99" s="69">
        <f t="shared" si="61"/>
        <v>157.99369643201501</v>
      </c>
      <c r="AO99" s="42"/>
      <c r="AP99" s="153">
        <f>AP93</f>
        <v>30.329618480442228</v>
      </c>
      <c r="AQ99" s="52">
        <f>AQ93</f>
        <v>139.19963190265614</v>
      </c>
      <c r="AS99" s="31"/>
      <c r="AT99" s="31"/>
      <c r="AY99" s="125"/>
      <c r="AZ99" s="52">
        <f>+AZ93</f>
        <v>9.2799999999999994</v>
      </c>
      <c r="BB99" s="31"/>
      <c r="BC99" s="31"/>
      <c r="BE99" s="129"/>
      <c r="BF99" s="52">
        <f>BF93</f>
        <v>680.82489750521052</v>
      </c>
      <c r="BH99" s="121"/>
      <c r="BI99" s="69">
        <f>BI93</f>
        <v>807.66546695409306</v>
      </c>
      <c r="BK99" s="129">
        <f t="shared" si="62"/>
        <v>42.856850323711022</v>
      </c>
      <c r="BL99" s="52">
        <f>BL93</f>
        <v>9.279430995013918</v>
      </c>
      <c r="BM99" s="52">
        <f>BM93</f>
        <v>19.52715044168146</v>
      </c>
      <c r="BO99" s="31"/>
      <c r="BP99" s="31"/>
      <c r="BQ99" s="31"/>
    </row>
    <row r="100" spans="2:69" s="149" customFormat="1" ht="11.1" customHeight="1" x14ac:dyDescent="0.2">
      <c r="B100" s="398"/>
      <c r="C100" s="97">
        <v>41852</v>
      </c>
      <c r="D100" s="98">
        <v>425.06092288526901</v>
      </c>
      <c r="E100" s="111">
        <f t="shared" si="64"/>
        <v>421.98417515280744</v>
      </c>
      <c r="F100" s="108">
        <f t="shared" si="63"/>
        <v>1.0712828171938443E-3</v>
      </c>
      <c r="H100" s="64"/>
      <c r="I100" s="69">
        <f>I93</f>
        <v>25.025000490944176</v>
      </c>
      <c r="K100" s="42"/>
      <c r="L100" s="52">
        <f>L93</f>
        <v>35.779460940904947</v>
      </c>
      <c r="N100" s="64"/>
      <c r="O100" s="69">
        <f>O93</f>
        <v>7613028.9348912342</v>
      </c>
      <c r="P100" s="31"/>
      <c r="Q100" s="42"/>
      <c r="R100" s="52">
        <f>R93</f>
        <v>9005134.5514065474</v>
      </c>
      <c r="Z100" s="232"/>
      <c r="AA100" s="232"/>
      <c r="AB100" s="232"/>
      <c r="AC100" s="232"/>
      <c r="AD100" s="232"/>
      <c r="AF100" s="116"/>
      <c r="AG100" s="69">
        <f>+AG93</f>
        <v>56.87</v>
      </c>
      <c r="AH100" s="31"/>
      <c r="AI100" s="125"/>
      <c r="AJ100" s="52">
        <f>+AJ93</f>
        <v>24194897.289999999</v>
      </c>
      <c r="AL100" s="139">
        <f t="shared" si="60"/>
        <v>53.869373670032317</v>
      </c>
      <c r="AM100" s="69">
        <f t="shared" si="61"/>
        <v>158.10929306623333</v>
      </c>
      <c r="AO100" s="42"/>
      <c r="AP100" s="153">
        <f>AP93</f>
        <v>30.329618480442228</v>
      </c>
      <c r="AQ100" s="52">
        <f>AQ93</f>
        <v>139.19963190265614</v>
      </c>
      <c r="AS100" s="31"/>
      <c r="AT100" s="31"/>
      <c r="AY100" s="125"/>
      <c r="AZ100" s="52">
        <f>+AZ93</f>
        <v>9.2799999999999994</v>
      </c>
      <c r="BB100" s="31"/>
      <c r="BC100" s="31"/>
      <c r="BE100" s="129"/>
      <c r="BF100" s="52">
        <f>BF93</f>
        <v>680.82489750521052</v>
      </c>
      <c r="BH100" s="121"/>
      <c r="BI100" s="69">
        <f>BI93</f>
        <v>807.66546695409306</v>
      </c>
      <c r="BK100" s="129">
        <f t="shared" si="62"/>
        <v>42.856850323711022</v>
      </c>
      <c r="BL100" s="52">
        <f>BL93</f>
        <v>9.279430995013918</v>
      </c>
      <c r="BM100" s="52">
        <f>BM93</f>
        <v>19.52715044168146</v>
      </c>
      <c r="BO100" s="31"/>
      <c r="BP100" s="31"/>
      <c r="BQ100" s="31"/>
    </row>
    <row r="101" spans="2:69" s="149" customFormat="1" ht="11.1" customHeight="1" x14ac:dyDescent="0.2">
      <c r="B101" s="398"/>
      <c r="C101" s="97">
        <v>41883</v>
      </c>
      <c r="D101" s="98">
        <v>434.89223516399977</v>
      </c>
      <c r="E101" s="111">
        <f t="shared" si="64"/>
        <v>422.53091872657984</v>
      </c>
      <c r="F101" s="108">
        <f t="shared" si="63"/>
        <v>1.2956494721026405E-3</v>
      </c>
      <c r="H101" s="64"/>
      <c r="I101" s="69">
        <f>I93</f>
        <v>25.025000490944176</v>
      </c>
      <c r="K101" s="42"/>
      <c r="L101" s="52">
        <f>L93</f>
        <v>35.779460940904947</v>
      </c>
      <c r="N101" s="64"/>
      <c r="O101" s="69">
        <f>O93</f>
        <v>7613028.9348912342</v>
      </c>
      <c r="P101" s="31"/>
      <c r="Q101" s="42"/>
      <c r="R101" s="52">
        <f>R93</f>
        <v>9005134.5514065474</v>
      </c>
      <c r="Z101" s="232"/>
      <c r="AA101" s="232"/>
      <c r="AB101" s="232"/>
      <c r="AC101" s="232"/>
      <c r="AD101" s="232"/>
      <c r="AF101" s="116"/>
      <c r="AG101" s="69">
        <f>+AG93</f>
        <v>56.87</v>
      </c>
      <c r="AH101" s="31"/>
      <c r="AI101" s="125"/>
      <c r="AJ101" s="52">
        <f>+AJ93</f>
        <v>24194897.289999999</v>
      </c>
      <c r="AL101" s="139">
        <f t="shared" si="60"/>
        <v>53.927083004418023</v>
      </c>
      <c r="AM101" s="69">
        <f t="shared" si="61"/>
        <v>158.27867283513388</v>
      </c>
      <c r="AO101" s="42"/>
      <c r="AP101" s="153">
        <f>AP93</f>
        <v>30.329618480442228</v>
      </c>
      <c r="AQ101" s="52">
        <f>AQ93</f>
        <v>139.19963190265614</v>
      </c>
      <c r="AS101" s="31"/>
      <c r="AT101" s="31"/>
      <c r="AY101" s="125"/>
      <c r="AZ101" s="52">
        <f>+AZ93</f>
        <v>9.2799999999999994</v>
      </c>
      <c r="BB101" s="31"/>
      <c r="BC101" s="31"/>
      <c r="BE101" s="129"/>
      <c r="BF101" s="52">
        <f>BF93</f>
        <v>680.82489750521052</v>
      </c>
      <c r="BH101" s="121"/>
      <c r="BI101" s="69">
        <f>BI93</f>
        <v>807.66546695409306</v>
      </c>
      <c r="BK101" s="129">
        <f t="shared" si="62"/>
        <v>42.856850323711022</v>
      </c>
      <c r="BL101" s="52">
        <f>BL93</f>
        <v>9.279430995013918</v>
      </c>
      <c r="BM101" s="52">
        <f>BM93</f>
        <v>19.52715044168146</v>
      </c>
      <c r="BO101" s="31"/>
      <c r="BP101" s="31"/>
      <c r="BQ101" s="31"/>
    </row>
    <row r="102" spans="2:69" s="149" customFormat="1" ht="11.1" customHeight="1" x14ac:dyDescent="0.2">
      <c r="B102" s="398"/>
      <c r="C102" s="97">
        <v>41913</v>
      </c>
      <c r="D102" s="98">
        <v>438.09916144129727</v>
      </c>
      <c r="E102" s="111">
        <f t="shared" si="64"/>
        <v>424.0569383235798</v>
      </c>
      <c r="F102" s="108">
        <f t="shared" si="63"/>
        <v>3.6116164033606433E-3</v>
      </c>
      <c r="H102" s="64"/>
      <c r="I102" s="69">
        <f>I93</f>
        <v>25.025000490944176</v>
      </c>
      <c r="K102" s="42"/>
      <c r="L102" s="52">
        <f>L93</f>
        <v>35.779460940904947</v>
      </c>
      <c r="N102" s="64"/>
      <c r="O102" s="69">
        <f>O93</f>
        <v>7613028.9348912342</v>
      </c>
      <c r="P102" s="31"/>
      <c r="Q102" s="42"/>
      <c r="R102" s="52">
        <f>R93</f>
        <v>9005134.5514065474</v>
      </c>
      <c r="Z102" s="232"/>
      <c r="AA102" s="232"/>
      <c r="AB102" s="232"/>
      <c r="AC102" s="232"/>
      <c r="AD102" s="232"/>
      <c r="AF102" s="116"/>
      <c r="AG102" s="69">
        <f>+AG93</f>
        <v>56.87</v>
      </c>
      <c r="AH102" s="31"/>
      <c r="AI102" s="125"/>
      <c r="AJ102" s="52">
        <f>+AJ93</f>
        <v>24194897.289999999</v>
      </c>
      <c r="AL102" s="139">
        <f t="shared" si="60"/>
        <v>53.99695360104473</v>
      </c>
      <c r="AM102" s="69">
        <f t="shared" si="61"/>
        <v>158.48374651403782</v>
      </c>
      <c r="AO102" s="42"/>
      <c r="AP102" s="153">
        <f>AP93</f>
        <v>30.329618480442228</v>
      </c>
      <c r="AQ102" s="52">
        <f>AQ93</f>
        <v>139.19963190265614</v>
      </c>
      <c r="AS102" s="31"/>
      <c r="AT102" s="31"/>
      <c r="AY102" s="125"/>
      <c r="AZ102" s="52">
        <f>+AZ93</f>
        <v>9.2799999999999994</v>
      </c>
      <c r="BB102" s="31"/>
      <c r="BC102" s="31"/>
      <c r="BE102" s="129"/>
      <c r="BF102" s="52">
        <f>BF93</f>
        <v>680.82489750521052</v>
      </c>
      <c r="BH102" s="121"/>
      <c r="BI102" s="69">
        <f>BI93</f>
        <v>807.66546695409306</v>
      </c>
      <c r="BK102" s="129">
        <f t="shared" si="62"/>
        <v>42.856850323711022</v>
      </c>
      <c r="BL102" s="52">
        <f>BL93</f>
        <v>9.279430995013918</v>
      </c>
      <c r="BM102" s="52">
        <f>BM93</f>
        <v>19.52715044168146</v>
      </c>
      <c r="BO102" s="31"/>
      <c r="BP102" s="31"/>
      <c r="BQ102" s="31"/>
    </row>
    <row r="103" spans="2:69" s="149" customFormat="1" ht="11.1" customHeight="1" thickBot="1" x14ac:dyDescent="0.25">
      <c r="B103" s="398"/>
      <c r="C103" s="97">
        <v>41944</v>
      </c>
      <c r="D103" s="98">
        <v>450.33322645989057</v>
      </c>
      <c r="E103" s="111">
        <f t="shared" si="64"/>
        <v>426.12378548708313</v>
      </c>
      <c r="F103" s="108">
        <f t="shared" si="63"/>
        <v>4.8739850164323988E-3</v>
      </c>
      <c r="H103" s="75"/>
      <c r="I103" s="69">
        <f>I94</f>
        <v>25.025000490944176</v>
      </c>
      <c r="K103" s="90"/>
      <c r="L103" s="52">
        <f>L94</f>
        <v>35.779460940904947</v>
      </c>
      <c r="N103" s="64"/>
      <c r="O103" s="69">
        <f>O93</f>
        <v>7613028.9348912342</v>
      </c>
      <c r="P103" s="31"/>
      <c r="Q103" s="42"/>
      <c r="R103" s="52">
        <f>R93</f>
        <v>9005134.5514065474</v>
      </c>
      <c r="Z103" s="232"/>
      <c r="AA103" s="232"/>
      <c r="AB103" s="232"/>
      <c r="AC103" s="232"/>
      <c r="AD103" s="232"/>
      <c r="AF103" s="116"/>
      <c r="AG103" s="69">
        <f>+AG93</f>
        <v>56.87</v>
      </c>
      <c r="AH103" s="31"/>
      <c r="AI103" s="125"/>
      <c r="AJ103" s="52">
        <f>+AJ93</f>
        <v>24194897.289999999</v>
      </c>
      <c r="AL103" s="139">
        <f t="shared" si="60"/>
        <v>54.191969884401765</v>
      </c>
      <c r="AM103" s="69">
        <f t="shared" si="61"/>
        <v>159.05612901261395</v>
      </c>
      <c r="AO103" s="42"/>
      <c r="AP103" s="153">
        <f>AP93</f>
        <v>30.329618480442228</v>
      </c>
      <c r="AQ103" s="52">
        <f>AQ93</f>
        <v>139.19963190265614</v>
      </c>
      <c r="AS103" s="31"/>
      <c r="AT103" s="31"/>
      <c r="AY103" s="125"/>
      <c r="AZ103" s="52">
        <f>+AZ93</f>
        <v>9.2799999999999994</v>
      </c>
      <c r="BB103" s="31"/>
      <c r="BC103" s="31"/>
      <c r="BE103" s="129"/>
      <c r="BF103" s="52">
        <f>BF93</f>
        <v>680.82489750521052</v>
      </c>
      <c r="BH103" s="121"/>
      <c r="BI103" s="69">
        <f>BI93</f>
        <v>807.66546695409306</v>
      </c>
      <c r="BK103" s="129">
        <f t="shared" si="62"/>
        <v>42.856850323711022</v>
      </c>
      <c r="BL103" s="52">
        <f>BL93</f>
        <v>9.279430995013918</v>
      </c>
      <c r="BM103" s="52">
        <f>BM93</f>
        <v>19.52715044168146</v>
      </c>
      <c r="BO103" s="31"/>
      <c r="BP103" s="31"/>
      <c r="BQ103" s="31"/>
    </row>
    <row r="104" spans="2:69" s="149" customFormat="1" ht="11.1" customHeight="1" thickBot="1" x14ac:dyDescent="0.2">
      <c r="B104" s="399"/>
      <c r="C104" s="100">
        <v>41974</v>
      </c>
      <c r="D104" s="106">
        <v>466.33944694251551</v>
      </c>
      <c r="E104" s="106">
        <f t="shared" si="64"/>
        <v>428.9105835494322</v>
      </c>
      <c r="F104" s="107">
        <f t="shared" si="63"/>
        <v>6.539879155451539E-3</v>
      </c>
      <c r="H104" s="74"/>
      <c r="I104" s="67">
        <f>I93</f>
        <v>25.025000490944176</v>
      </c>
      <c r="K104" s="58"/>
      <c r="L104" s="56">
        <f>L93</f>
        <v>35.779460940904947</v>
      </c>
      <c r="N104" s="74"/>
      <c r="O104" s="67">
        <f>O93</f>
        <v>7613028.9348912342</v>
      </c>
      <c r="P104" s="31"/>
      <c r="Q104" s="58"/>
      <c r="R104" s="56">
        <f>R93</f>
        <v>9005134.5514065474</v>
      </c>
      <c r="Z104" s="242"/>
      <c r="AA104" s="132">
        <f>AG92</f>
        <v>70.118081080603531</v>
      </c>
      <c r="AC104" s="244"/>
      <c r="AD104" s="245">
        <f>AJ92</f>
        <v>26880299.123980682</v>
      </c>
      <c r="AF104" s="117"/>
      <c r="AG104" s="243">
        <f>+AG93</f>
        <v>56.87</v>
      </c>
      <c r="AH104" s="31"/>
      <c r="AI104" s="126"/>
      <c r="AJ104" s="247">
        <f>+AJ93</f>
        <v>24194897.289999999</v>
      </c>
      <c r="AL104" s="139">
        <f t="shared" si="60"/>
        <v>54.456100733629292</v>
      </c>
      <c r="AM104" s="69">
        <f t="shared" si="61"/>
        <v>159.83136620219315</v>
      </c>
      <c r="AO104" s="58"/>
      <c r="AP104" s="170">
        <f>AP93</f>
        <v>30.329618480442228</v>
      </c>
      <c r="AQ104" s="56">
        <f>AQ93</f>
        <v>139.19963190265614</v>
      </c>
      <c r="AS104" s="31"/>
      <c r="AT104" s="31"/>
      <c r="AV104" s="242"/>
      <c r="AW104" s="132">
        <f>+AZ81</f>
        <v>15.299034770362256</v>
      </c>
      <c r="AY104" s="125"/>
      <c r="AZ104" s="56">
        <f>+AZ93</f>
        <v>9.2799999999999994</v>
      </c>
      <c r="BB104" s="31"/>
      <c r="BC104" s="31"/>
      <c r="BE104" s="177"/>
      <c r="BF104" s="56">
        <f>BF93</f>
        <v>680.82489750521052</v>
      </c>
      <c r="BH104" s="179"/>
      <c r="BI104" s="67">
        <f>BI93</f>
        <v>807.66546695409306</v>
      </c>
      <c r="BK104" s="177">
        <f t="shared" si="62"/>
        <v>42.856850323711022</v>
      </c>
      <c r="BL104" s="56">
        <f>BL93</f>
        <v>9.279430995013918</v>
      </c>
      <c r="BM104" s="56">
        <f>BM93</f>
        <v>19.52715044168146</v>
      </c>
      <c r="BO104" s="31"/>
      <c r="BP104" s="31"/>
      <c r="BQ104" s="31"/>
    </row>
    <row r="105" spans="2:69" s="149" customFormat="1" ht="11.1" customHeight="1" x14ac:dyDescent="0.15">
      <c r="B105" s="397">
        <v>2015</v>
      </c>
      <c r="C105" s="94">
        <v>42005</v>
      </c>
      <c r="D105" s="112">
        <v>477.19</v>
      </c>
      <c r="E105" s="112">
        <f t="shared" si="64"/>
        <v>433.05375566711137</v>
      </c>
      <c r="F105" s="109">
        <f t="shared" si="63"/>
        <v>9.6597572468194136E-3</v>
      </c>
      <c r="H105" s="76"/>
      <c r="I105" s="70">
        <f>(1+(($E$104-$E$14)/$E$14))*$H$20*0.98</f>
        <v>26.100824803501482</v>
      </c>
      <c r="K105" s="40"/>
      <c r="L105" s="57">
        <f>(1+((E104-$E$14)/$E$14))*K$20*0.98</f>
        <v>37.317619311145513</v>
      </c>
      <c r="N105" s="62"/>
      <c r="O105" s="73">
        <f>(1+((E104-$E$14)/$E$14))*N$20*0.98</f>
        <v>7940312.9093040237</v>
      </c>
      <c r="P105" s="31"/>
      <c r="Q105" s="40"/>
      <c r="R105" s="57">
        <f>(1+((E104-$E$14)/$E$14))*Q$20*0.98</f>
        <v>9392265.1207649279</v>
      </c>
      <c r="Z105" s="119"/>
      <c r="AA105" s="178">
        <f>AG93</f>
        <v>56.87</v>
      </c>
      <c r="AC105" s="122"/>
      <c r="AD105" s="246">
        <f>AJ93</f>
        <v>24194897.289999999</v>
      </c>
      <c r="AF105" s="113"/>
      <c r="AG105" s="114">
        <f>32.88*0.98*(1+((E104-$E$93)/$E$93))</f>
        <v>33.481611571304001</v>
      </c>
      <c r="AH105" s="31"/>
      <c r="AI105" s="122"/>
      <c r="AJ105" s="246">
        <f>13575005.96*0.98*(1+((E104-$E$93)/$E$93))</f>
        <v>13823390.408481047</v>
      </c>
      <c r="AL105" s="148">
        <f>AL104*(1+F104)*0.98</f>
        <v>53.715992310670245</v>
      </c>
      <c r="AM105" s="73">
        <f>AM104*(1+F104)*0.98</f>
        <v>157.65911114195811</v>
      </c>
      <c r="AO105" s="40"/>
      <c r="AP105" s="172">
        <v>0</v>
      </c>
      <c r="AQ105" s="173">
        <f>AP$20*0.98*(1+((E104-$E$14)/$E$14))</f>
        <v>145.18382152751136</v>
      </c>
      <c r="AS105" s="31"/>
      <c r="AT105" s="31"/>
      <c r="AV105" s="230"/>
      <c r="AW105" s="241">
        <f>AZ93</f>
        <v>9.2799999999999994</v>
      </c>
      <c r="AY105" s="183"/>
      <c r="AZ105" s="176">
        <f>5.43*0.98*(1+((E104-$E$93)/$E$93))</f>
        <v>5.5293537357719194</v>
      </c>
      <c r="BB105" s="31"/>
      <c r="BC105" s="31"/>
      <c r="BE105" s="128"/>
      <c r="BF105" s="176">
        <f>(BF93)*0.98*(1+((E104-$E$57)/$E$57))</f>
        <v>716.22435574562166</v>
      </c>
      <c r="BH105" s="120"/>
      <c r="BI105" s="178">
        <f>(BI93)*0.98*(1+((E104-$E$57)/$E$57))</f>
        <v>849.65999458437079</v>
      </c>
      <c r="BK105" s="122">
        <f>12.55*0.98*(1+((E104-$E$93)/$E$93))</f>
        <v>12.779629720798821</v>
      </c>
      <c r="BL105" s="176">
        <f>2.24*0.98*(1+((E104-$E$93)/$E$93))</f>
        <v>2.2809857031545309</v>
      </c>
      <c r="BM105" s="176">
        <f>13.09*0.98*(1+((E104-$E$57)/$E$57))</f>
        <v>13.77061392887506</v>
      </c>
      <c r="BO105" s="31"/>
      <c r="BP105" s="31"/>
      <c r="BQ105" s="31"/>
    </row>
    <row r="106" spans="2:69" s="149" customFormat="1" ht="11.1" customHeight="1" x14ac:dyDescent="0.15">
      <c r="B106" s="398"/>
      <c r="C106" s="97">
        <v>42036</v>
      </c>
      <c r="D106" s="111">
        <v>481.1722903629655</v>
      </c>
      <c r="E106" s="111">
        <f t="shared" si="64"/>
        <v>437.15799526487564</v>
      </c>
      <c r="F106" s="108">
        <f t="shared" si="63"/>
        <v>9.4774367940574887E-3</v>
      </c>
      <c r="H106" s="64"/>
      <c r="I106" s="69">
        <f>I105</f>
        <v>26.100824803501482</v>
      </c>
      <c r="K106" s="42"/>
      <c r="L106" s="52">
        <f>L105</f>
        <v>37.317619311145513</v>
      </c>
      <c r="N106" s="64"/>
      <c r="O106" s="69">
        <f>O105</f>
        <v>7940312.9093040237</v>
      </c>
      <c r="P106" s="31"/>
      <c r="Q106" s="42"/>
      <c r="R106" s="52">
        <f>R105</f>
        <v>9392265.1207649279</v>
      </c>
      <c r="Z106" s="116"/>
      <c r="AA106" s="69">
        <v>56.87</v>
      </c>
      <c r="AC106" s="125"/>
      <c r="AD106" s="52">
        <f>AD105</f>
        <v>24194897.289999999</v>
      </c>
      <c r="AF106" s="116"/>
      <c r="AG106" s="69">
        <f>AG105</f>
        <v>33.481611571304001</v>
      </c>
      <c r="AH106" s="31"/>
      <c r="AI106" s="125"/>
      <c r="AJ106" s="52">
        <f>AJ105</f>
        <v>13823390.408481047</v>
      </c>
      <c r="AL106" s="139">
        <f t="shared" ref="AL106:AL116" si="65">AL105*(1+F105)</f>
        <v>54.234875756663335</v>
      </c>
      <c r="AM106" s="248">
        <f t="shared" ref="AM106:AM116" si="66">AM105*(1+F105)</f>
        <v>159.18205988333872</v>
      </c>
      <c r="AO106" s="42"/>
      <c r="AP106" s="153">
        <f>AP105</f>
        <v>0</v>
      </c>
      <c r="AQ106" s="52">
        <f>AQ105</f>
        <v>145.18382152751136</v>
      </c>
      <c r="AS106" s="31"/>
      <c r="AT106" s="31"/>
      <c r="AV106" s="116"/>
      <c r="AW106" s="254">
        <f>+AW105</f>
        <v>9.2799999999999994</v>
      </c>
      <c r="AY106" s="125"/>
      <c r="AZ106" s="52">
        <f>AZ105</f>
        <v>5.5293537357719194</v>
      </c>
      <c r="BB106" s="31"/>
      <c r="BC106" s="31"/>
      <c r="BE106" s="129"/>
      <c r="BF106" s="52">
        <f>BF105</f>
        <v>716.22435574562166</v>
      </c>
      <c r="BH106" s="121"/>
      <c r="BI106" s="69">
        <f>BI105</f>
        <v>849.65999458437079</v>
      </c>
      <c r="BK106" s="125">
        <f t="shared" si="62"/>
        <v>12.779629720798821</v>
      </c>
      <c r="BL106" s="52">
        <f>BL105</f>
        <v>2.2809857031545309</v>
      </c>
      <c r="BM106" s="52">
        <f>BM105</f>
        <v>13.77061392887506</v>
      </c>
      <c r="BO106" s="31"/>
      <c r="BP106" s="31"/>
      <c r="BQ106" s="31"/>
    </row>
    <row r="107" spans="2:69" s="149" customFormat="1" ht="11.1" customHeight="1" x14ac:dyDescent="0.15">
      <c r="B107" s="398"/>
      <c r="C107" s="97">
        <v>42064</v>
      </c>
      <c r="D107" s="98">
        <v>489.82643811604004</v>
      </c>
      <c r="E107" s="111">
        <f t="shared" si="64"/>
        <v>441.13755956234218</v>
      </c>
      <c r="F107" s="108">
        <f t="shared" si="63"/>
        <v>9.1032632150655404E-3</v>
      </c>
      <c r="H107" s="64"/>
      <c r="I107" s="69">
        <f t="shared" ref="I107:I116" si="67">I106</f>
        <v>26.100824803501482</v>
      </c>
      <c r="K107" s="42"/>
      <c r="L107" s="52">
        <f>L105</f>
        <v>37.317619311145513</v>
      </c>
      <c r="N107" s="64"/>
      <c r="O107" s="69">
        <f>O105</f>
        <v>7940312.9093040237</v>
      </c>
      <c r="P107" s="31"/>
      <c r="Q107" s="42"/>
      <c r="R107" s="52">
        <f>R105</f>
        <v>9392265.1207649279</v>
      </c>
      <c r="Z107" s="116"/>
      <c r="AA107" s="69">
        <v>56.87</v>
      </c>
      <c r="AC107" s="125"/>
      <c r="AD107" s="234">
        <v>24194897.29476985</v>
      </c>
      <c r="AF107" s="116"/>
      <c r="AG107" s="69">
        <f>AG105</f>
        <v>33.481611571304001</v>
      </c>
      <c r="AH107" s="31"/>
      <c r="AI107" s="125"/>
      <c r="AJ107" s="52">
        <f>AJ105</f>
        <v>13823390.408481047</v>
      </c>
      <c r="AL107" s="139">
        <f t="shared" si="65"/>
        <v>54.748883363680676</v>
      </c>
      <c r="AM107" s="248">
        <f t="shared" si="66"/>
        <v>160.69069779463095</v>
      </c>
      <c r="AO107" s="42"/>
      <c r="AP107" s="153">
        <f>AP105</f>
        <v>0</v>
      </c>
      <c r="AQ107" s="52">
        <f>AQ105</f>
        <v>145.18382152751136</v>
      </c>
      <c r="AS107" s="31"/>
      <c r="AT107" s="31"/>
      <c r="AV107" s="116"/>
      <c r="AW107" s="69">
        <f>+AW105</f>
        <v>9.2799999999999994</v>
      </c>
      <c r="AY107" s="125"/>
      <c r="AZ107" s="52">
        <f>AZ105</f>
        <v>5.5293537357719194</v>
      </c>
      <c r="BB107" s="31"/>
      <c r="BC107" s="31"/>
      <c r="BE107" s="129"/>
      <c r="BF107" s="52">
        <f>BF105</f>
        <v>716.22435574562166</v>
      </c>
      <c r="BH107" s="121"/>
      <c r="BI107" s="69">
        <f>BI105</f>
        <v>849.65999458437079</v>
      </c>
      <c r="BK107" s="129">
        <f t="shared" si="62"/>
        <v>12.779629720798821</v>
      </c>
      <c r="BL107" s="52">
        <f>BL105</f>
        <v>2.2809857031545309</v>
      </c>
      <c r="BM107" s="52">
        <f>BM105</f>
        <v>13.77061392887506</v>
      </c>
      <c r="BO107" s="31"/>
      <c r="BP107" s="31"/>
      <c r="BQ107" s="31"/>
    </row>
    <row r="108" spans="2:69" s="149" customFormat="1" ht="11.1" customHeight="1" x14ac:dyDescent="0.15">
      <c r="B108" s="398"/>
      <c r="C108" s="97">
        <v>42095</v>
      </c>
      <c r="D108" s="98">
        <v>474.4000955182882</v>
      </c>
      <c r="E108" s="111">
        <f t="shared" si="64"/>
        <v>446.24530065978178</v>
      </c>
      <c r="F108" s="108">
        <f t="shared" si="63"/>
        <v>1.1578567697810748E-2</v>
      </c>
      <c r="H108" s="64"/>
      <c r="I108" s="69">
        <f t="shared" si="67"/>
        <v>26.100824803501482</v>
      </c>
      <c r="K108" s="42"/>
      <c r="L108" s="52">
        <f>L105</f>
        <v>37.317619311145513</v>
      </c>
      <c r="N108" s="64"/>
      <c r="O108" s="69">
        <f>O105</f>
        <v>7940312.9093040237</v>
      </c>
      <c r="P108" s="31"/>
      <c r="Q108" s="42"/>
      <c r="R108" s="52">
        <f>R105</f>
        <v>9392265.1207649279</v>
      </c>
      <c r="Z108" s="116"/>
      <c r="AA108" s="69">
        <v>56.87</v>
      </c>
      <c r="AC108" s="125"/>
      <c r="AD108" s="52">
        <v>24194897.29476985</v>
      </c>
      <c r="AF108" s="116"/>
      <c r="AG108" s="69">
        <f>AG105</f>
        <v>33.481611571304001</v>
      </c>
      <c r="AH108" s="31"/>
      <c r="AI108" s="125"/>
      <c r="AJ108" s="52">
        <f>AJ105</f>
        <v>13823390.408481047</v>
      </c>
      <c r="AL108" s="139">
        <f t="shared" si="65"/>
        <v>55.247276859671189</v>
      </c>
      <c r="AM108" s="248">
        <f t="shared" si="66"/>
        <v>162.15350751286803</v>
      </c>
      <c r="AO108" s="42"/>
      <c r="AP108" s="153">
        <f>AP105</f>
        <v>0</v>
      </c>
      <c r="AQ108" s="52">
        <f>AQ105</f>
        <v>145.18382152751136</v>
      </c>
      <c r="AS108" s="31"/>
      <c r="AT108" s="31"/>
      <c r="AV108" s="116"/>
      <c r="AW108" s="69">
        <f>+AW105</f>
        <v>9.2799999999999994</v>
      </c>
      <c r="AY108" s="125"/>
      <c r="AZ108" s="52">
        <f>AZ105</f>
        <v>5.5293537357719194</v>
      </c>
      <c r="BB108" s="31"/>
      <c r="BC108" s="31"/>
      <c r="BE108" s="129"/>
      <c r="BF108" s="52">
        <f>BF105</f>
        <v>716.22435574562166</v>
      </c>
      <c r="BH108" s="121"/>
      <c r="BI108" s="69">
        <f>BI105</f>
        <v>849.65999458437079</v>
      </c>
      <c r="BK108" s="129">
        <f t="shared" si="62"/>
        <v>12.779629720798821</v>
      </c>
      <c r="BL108" s="52">
        <f>BL105</f>
        <v>2.2809857031545309</v>
      </c>
      <c r="BM108" s="52">
        <f>BM105</f>
        <v>13.77061392887506</v>
      </c>
      <c r="BO108" s="31"/>
      <c r="BP108" s="31"/>
      <c r="BQ108" s="31"/>
    </row>
    <row r="109" spans="2:69" s="149" customFormat="1" ht="11.1" customHeight="1" x14ac:dyDescent="0.15">
      <c r="B109" s="398"/>
      <c r="C109" s="97">
        <v>42125</v>
      </c>
      <c r="D109" s="98">
        <v>484.13079524933755</v>
      </c>
      <c r="E109" s="111">
        <f t="shared" si="64"/>
        <v>450.21965359291312</v>
      </c>
      <c r="F109" s="108">
        <f t="shared" si="63"/>
        <v>8.9062068043185873E-3</v>
      </c>
      <c r="H109" s="64"/>
      <c r="I109" s="69">
        <f t="shared" si="67"/>
        <v>26.100824803501482</v>
      </c>
      <c r="K109" s="42"/>
      <c r="L109" s="52">
        <f>L105</f>
        <v>37.317619311145513</v>
      </c>
      <c r="N109" s="64"/>
      <c r="O109" s="69">
        <f>O105</f>
        <v>7940312.9093040237</v>
      </c>
      <c r="P109" s="31"/>
      <c r="Q109" s="42"/>
      <c r="R109" s="52">
        <f>R105</f>
        <v>9392265.1207649279</v>
      </c>
      <c r="Z109" s="115"/>
      <c r="AA109" s="72">
        <v>56.87</v>
      </c>
      <c r="AC109" s="124"/>
      <c r="AD109" s="54">
        <v>24194897.29476985</v>
      </c>
      <c r="AF109" s="115"/>
      <c r="AG109" s="72">
        <f>AG105</f>
        <v>33.481611571304001</v>
      </c>
      <c r="AH109" s="31"/>
      <c r="AI109" s="124"/>
      <c r="AJ109" s="54">
        <f>AJ105</f>
        <v>13823390.408481047</v>
      </c>
      <c r="AL109" s="139">
        <f t="shared" si="65"/>
        <v>55.88696119491059</v>
      </c>
      <c r="AM109" s="248">
        <f t="shared" si="66"/>
        <v>164.03101287704325</v>
      </c>
      <c r="AO109" s="42"/>
      <c r="AP109" s="153">
        <f>AP105</f>
        <v>0</v>
      </c>
      <c r="AQ109" s="52">
        <f>AQ105</f>
        <v>145.18382152751136</v>
      </c>
      <c r="AS109" s="31"/>
      <c r="AT109" s="31"/>
      <c r="AV109" s="115"/>
      <c r="AW109" s="72">
        <f>+AW105</f>
        <v>9.2799999999999994</v>
      </c>
      <c r="AY109" s="125"/>
      <c r="AZ109" s="52">
        <f>AZ105</f>
        <v>5.5293537357719194</v>
      </c>
      <c r="BB109" s="31"/>
      <c r="BC109" s="31"/>
      <c r="BE109" s="129"/>
      <c r="BF109" s="52">
        <f>BF105</f>
        <v>716.22435574562166</v>
      </c>
      <c r="BH109" s="121"/>
      <c r="BI109" s="69">
        <f>BI105</f>
        <v>849.65999458437079</v>
      </c>
      <c r="BK109" s="129">
        <f t="shared" si="62"/>
        <v>12.779629720798821</v>
      </c>
      <c r="BL109" s="52">
        <f>BL105</f>
        <v>2.2809857031545309</v>
      </c>
      <c r="BM109" s="52">
        <f>BM105</f>
        <v>13.77061392887506</v>
      </c>
      <c r="BO109" s="31"/>
      <c r="BP109" s="31"/>
      <c r="BQ109" s="31"/>
    </row>
    <row r="110" spans="2:69" s="149" customFormat="1" ht="11.1" customHeight="1" x14ac:dyDescent="0.15">
      <c r="B110" s="398"/>
      <c r="C110" s="97">
        <v>42156</v>
      </c>
      <c r="D110" s="98">
        <v>489.25817363492297</v>
      </c>
      <c r="E110" s="111">
        <f t="shared" si="64"/>
        <v>455.26182192867554</v>
      </c>
      <c r="F110" s="108">
        <f t="shared" si="63"/>
        <v>1.1199351906395306E-2</v>
      </c>
      <c r="H110" s="64"/>
      <c r="I110" s="69">
        <f t="shared" si="67"/>
        <v>26.100824803501482</v>
      </c>
      <c r="K110" s="42"/>
      <c r="L110" s="52">
        <f>L105</f>
        <v>37.317619311145513</v>
      </c>
      <c r="N110" s="64"/>
      <c r="O110" s="69">
        <f>O105</f>
        <v>7940312.9093040237</v>
      </c>
      <c r="P110" s="31"/>
      <c r="Q110" s="42"/>
      <c r="R110" s="52">
        <f>R105</f>
        <v>9392265.1207649279</v>
      </c>
      <c r="Z110" s="116"/>
      <c r="AA110" s="69">
        <v>56.87</v>
      </c>
      <c r="AC110" s="125"/>
      <c r="AD110" s="52">
        <v>24194897.29476985</v>
      </c>
      <c r="AF110" s="116"/>
      <c r="AG110" s="69">
        <f>AG105</f>
        <v>33.481611571304001</v>
      </c>
      <c r="AH110" s="31"/>
      <c r="AI110" s="125"/>
      <c r="AJ110" s="52">
        <f>AJ105</f>
        <v>13823390.408481047</v>
      </c>
      <c r="AL110" s="139">
        <f t="shared" si="65"/>
        <v>56.384702028977394</v>
      </c>
      <c r="AM110" s="248">
        <f t="shared" si="66"/>
        <v>165.49190700004806</v>
      </c>
      <c r="AO110" s="42"/>
      <c r="AP110" s="153">
        <f>AP105</f>
        <v>0</v>
      </c>
      <c r="AQ110" s="52">
        <f>AQ105</f>
        <v>145.18382152751136</v>
      </c>
      <c r="AS110" s="31"/>
      <c r="AT110" s="31"/>
      <c r="AV110" s="116"/>
      <c r="AW110" s="69">
        <f>+AW105</f>
        <v>9.2799999999999994</v>
      </c>
      <c r="AY110" s="125"/>
      <c r="AZ110" s="52">
        <f>AZ105</f>
        <v>5.5293537357719194</v>
      </c>
      <c r="BB110" s="31"/>
      <c r="BC110" s="31"/>
      <c r="BE110" s="129"/>
      <c r="BF110" s="52">
        <f>BF105</f>
        <v>716.22435574562166</v>
      </c>
      <c r="BH110" s="121"/>
      <c r="BI110" s="69">
        <f>BI105</f>
        <v>849.65999458437079</v>
      </c>
      <c r="BK110" s="129">
        <f t="shared" si="62"/>
        <v>12.779629720798821</v>
      </c>
      <c r="BL110" s="52">
        <f>BL105</f>
        <v>2.2809857031545309</v>
      </c>
      <c r="BM110" s="52">
        <f>BM105</f>
        <v>13.77061392887506</v>
      </c>
      <c r="BO110" s="31"/>
      <c r="BP110" s="31"/>
      <c r="BQ110" s="31"/>
    </row>
    <row r="111" spans="2:69" s="149" customFormat="1" ht="11.1" customHeight="1" x14ac:dyDescent="0.15">
      <c r="B111" s="398"/>
      <c r="C111" s="97">
        <v>42186</v>
      </c>
      <c r="D111" s="98">
        <v>510.75206001732249</v>
      </c>
      <c r="E111" s="111">
        <f t="shared" si="64"/>
        <v>460.90764610661478</v>
      </c>
      <c r="F111" s="108">
        <f t="shared" si="63"/>
        <v>1.2401268689786481E-2</v>
      </c>
      <c r="H111" s="64"/>
      <c r="I111" s="69">
        <f t="shared" si="67"/>
        <v>26.100824803501482</v>
      </c>
      <c r="K111" s="42"/>
      <c r="L111" s="52">
        <f>L105</f>
        <v>37.317619311145513</v>
      </c>
      <c r="N111" s="64"/>
      <c r="O111" s="69">
        <f>O105</f>
        <v>7940312.9093040237</v>
      </c>
      <c r="P111" s="31"/>
      <c r="Q111" s="42"/>
      <c r="R111" s="52">
        <f>R105</f>
        <v>9392265.1207649279</v>
      </c>
      <c r="Z111" s="116"/>
      <c r="AA111" s="69">
        <v>56.87</v>
      </c>
      <c r="AC111" s="125"/>
      <c r="AD111" s="52">
        <v>24194897.29476985</v>
      </c>
      <c r="AF111" s="116"/>
      <c r="AG111" s="69">
        <f>AG105</f>
        <v>33.481611571304001</v>
      </c>
      <c r="AH111" s="31"/>
      <c r="AI111" s="125"/>
      <c r="AJ111" s="52">
        <f>AJ105</f>
        <v>13823390.408481047</v>
      </c>
      <c r="AL111" s="139">
        <f t="shared" si="65"/>
        <v>57.01617414913715</v>
      </c>
      <c r="AM111" s="248">
        <f t="shared" si="66"/>
        <v>167.34530910420204</v>
      </c>
      <c r="AO111" s="42"/>
      <c r="AP111" s="153">
        <f>AP105</f>
        <v>0</v>
      </c>
      <c r="AQ111" s="52">
        <f>AQ105</f>
        <v>145.18382152751136</v>
      </c>
      <c r="AS111" s="31"/>
      <c r="AT111" s="31"/>
      <c r="AV111" s="116"/>
      <c r="AW111" s="69">
        <f>+AW105</f>
        <v>9.2799999999999994</v>
      </c>
      <c r="AY111" s="125"/>
      <c r="AZ111" s="52">
        <f>AZ105</f>
        <v>5.5293537357719194</v>
      </c>
      <c r="BB111" s="31"/>
      <c r="BC111" s="31"/>
      <c r="BE111" s="129"/>
      <c r="BF111" s="52">
        <f>BF105</f>
        <v>716.22435574562166</v>
      </c>
      <c r="BH111" s="121"/>
      <c r="BI111" s="69">
        <f>BI105</f>
        <v>849.65999458437079</v>
      </c>
      <c r="BK111" s="129">
        <f t="shared" si="62"/>
        <v>12.779629720798821</v>
      </c>
      <c r="BL111" s="52">
        <f>BL105</f>
        <v>2.2809857031545309</v>
      </c>
      <c r="BM111" s="52">
        <f>BM105</f>
        <v>13.77061392887506</v>
      </c>
      <c r="BO111" s="31"/>
      <c r="BP111" s="31"/>
      <c r="BQ111" s="31"/>
    </row>
    <row r="112" spans="2:69" s="149" customFormat="1" ht="11.1" customHeight="1" x14ac:dyDescent="0.15">
      <c r="B112" s="398"/>
      <c r="C112" s="97">
        <v>42217</v>
      </c>
      <c r="D112" s="98">
        <v>530.09764367053913</v>
      </c>
      <c r="E112" s="111">
        <f t="shared" si="64"/>
        <v>468.45457048265399</v>
      </c>
      <c r="F112" s="108">
        <f t="shared" si="63"/>
        <v>1.6374048987448344E-2</v>
      </c>
      <c r="H112" s="64"/>
      <c r="I112" s="69">
        <f t="shared" si="67"/>
        <v>26.100824803501482</v>
      </c>
      <c r="K112" s="42"/>
      <c r="L112" s="52">
        <f>L105</f>
        <v>37.317619311145513</v>
      </c>
      <c r="N112" s="64"/>
      <c r="O112" s="69">
        <f>O105</f>
        <v>7940312.9093040237</v>
      </c>
      <c r="P112" s="31"/>
      <c r="Q112" s="42"/>
      <c r="R112" s="52">
        <f>R105</f>
        <v>9392265.1207649279</v>
      </c>
      <c r="Z112" s="116"/>
      <c r="AA112" s="69">
        <v>56.87</v>
      </c>
      <c r="AC112" s="125"/>
      <c r="AD112" s="52">
        <v>24194897.29476985</v>
      </c>
      <c r="AF112" s="116"/>
      <c r="AG112" s="69">
        <f>AG105</f>
        <v>33.481611571304001</v>
      </c>
      <c r="AH112" s="31"/>
      <c r="AI112" s="125"/>
      <c r="AJ112" s="52">
        <f>AJ105</f>
        <v>13823390.408481047</v>
      </c>
      <c r="AL112" s="139">
        <f t="shared" si="65"/>
        <v>57.723247044424262</v>
      </c>
      <c r="AM112" s="248">
        <f t="shared" si="66"/>
        <v>169.42060324637865</v>
      </c>
      <c r="AO112" s="42"/>
      <c r="AP112" s="153">
        <f>AP105</f>
        <v>0</v>
      </c>
      <c r="AQ112" s="52">
        <f>AQ105</f>
        <v>145.18382152751136</v>
      </c>
      <c r="AS112" s="31"/>
      <c r="AT112" s="31"/>
      <c r="AV112" s="116"/>
      <c r="AW112" s="69">
        <f>+AW105</f>
        <v>9.2799999999999994</v>
      </c>
      <c r="AY112" s="125"/>
      <c r="AZ112" s="52">
        <f>AZ105</f>
        <v>5.5293537357719194</v>
      </c>
      <c r="BB112" s="31"/>
      <c r="BC112" s="31"/>
      <c r="BE112" s="129"/>
      <c r="BF112" s="52">
        <f>BF105</f>
        <v>716.22435574562166</v>
      </c>
      <c r="BH112" s="121"/>
      <c r="BI112" s="69">
        <f>BI105</f>
        <v>849.65999458437079</v>
      </c>
      <c r="BK112" s="129">
        <f t="shared" si="62"/>
        <v>12.779629720798821</v>
      </c>
      <c r="BL112" s="52">
        <f>BL105</f>
        <v>2.2809857031545309</v>
      </c>
      <c r="BM112" s="52">
        <f>BM105</f>
        <v>13.77061392887506</v>
      </c>
      <c r="BO112" s="31"/>
      <c r="BP112" s="31"/>
      <c r="BQ112" s="31"/>
    </row>
    <row r="113" spans="2:69" s="149" customFormat="1" ht="11.1" customHeight="1" x14ac:dyDescent="0.15">
      <c r="B113" s="398"/>
      <c r="C113" s="97">
        <v>42248</v>
      </c>
      <c r="D113" s="98">
        <v>533.41428772915344</v>
      </c>
      <c r="E113" s="111">
        <f t="shared" si="64"/>
        <v>477.20763054809322</v>
      </c>
      <c r="F113" s="108">
        <f t="shared" si="63"/>
        <v>1.8684971002462102E-2</v>
      </c>
      <c r="H113" s="64"/>
      <c r="I113" s="69">
        <f t="shared" si="67"/>
        <v>26.100824803501482</v>
      </c>
      <c r="K113" s="42"/>
      <c r="L113" s="52">
        <f>L105</f>
        <v>37.317619311145513</v>
      </c>
      <c r="N113" s="64"/>
      <c r="O113" s="69">
        <f>O105</f>
        <v>7940312.9093040237</v>
      </c>
      <c r="P113" s="31"/>
      <c r="Q113" s="42"/>
      <c r="R113" s="52">
        <f>R105</f>
        <v>9392265.1207649279</v>
      </c>
      <c r="Z113" s="116"/>
      <c r="AA113" s="69">
        <v>56.87</v>
      </c>
      <c r="AC113" s="125"/>
      <c r="AD113" s="52">
        <v>24194897.29476985</v>
      </c>
      <c r="AF113" s="116"/>
      <c r="AG113" s="69">
        <f>AG105</f>
        <v>33.481611571304001</v>
      </c>
      <c r="AH113" s="31"/>
      <c r="AI113" s="125"/>
      <c r="AJ113" s="52">
        <f>AJ105</f>
        <v>13823390.408481047</v>
      </c>
      <c r="AL113" s="139">
        <f t="shared" si="65"/>
        <v>58.668410319244252</v>
      </c>
      <c r="AM113" s="248">
        <f t="shared" si="66"/>
        <v>172.19470450341791</v>
      </c>
      <c r="AO113" s="42"/>
      <c r="AP113" s="153">
        <f>AP105</f>
        <v>0</v>
      </c>
      <c r="AQ113" s="52">
        <f>AQ105</f>
        <v>145.18382152751136</v>
      </c>
      <c r="AS113" s="31"/>
      <c r="AT113" s="31"/>
      <c r="AV113" s="116"/>
      <c r="AW113" s="69">
        <f>+AW105</f>
        <v>9.2799999999999994</v>
      </c>
      <c r="AY113" s="125"/>
      <c r="AZ113" s="52">
        <f>AZ105</f>
        <v>5.5293537357719194</v>
      </c>
      <c r="BB113" s="31"/>
      <c r="BC113" s="31"/>
      <c r="BE113" s="129"/>
      <c r="BF113" s="52">
        <f>BF105</f>
        <v>716.22435574562166</v>
      </c>
      <c r="BH113" s="121"/>
      <c r="BI113" s="69">
        <f>BI105</f>
        <v>849.65999458437079</v>
      </c>
      <c r="BK113" s="129">
        <f t="shared" si="62"/>
        <v>12.779629720798821</v>
      </c>
      <c r="BL113" s="52">
        <f>BL105</f>
        <v>2.2809857031545309</v>
      </c>
      <c r="BM113" s="52">
        <f>BM105</f>
        <v>13.77061392887506</v>
      </c>
      <c r="BO113" s="31"/>
      <c r="BP113" s="31"/>
      <c r="BQ113" s="31"/>
    </row>
    <row r="114" spans="2:69" s="149" customFormat="1" ht="11.1" customHeight="1" x14ac:dyDescent="0.15">
      <c r="B114" s="398"/>
      <c r="C114" s="97">
        <v>42278</v>
      </c>
      <c r="D114" s="98">
        <v>520.70296174626071</v>
      </c>
      <c r="E114" s="111">
        <f t="shared" si="64"/>
        <v>485.41780159518936</v>
      </c>
      <c r="F114" s="108">
        <f t="shared" si="63"/>
        <v>1.7204609736995214E-2</v>
      </c>
      <c r="H114" s="64"/>
      <c r="I114" s="69">
        <f t="shared" si="67"/>
        <v>26.100824803501482</v>
      </c>
      <c r="K114" s="42"/>
      <c r="L114" s="52">
        <f>L105</f>
        <v>37.317619311145513</v>
      </c>
      <c r="N114" s="64"/>
      <c r="O114" s="69">
        <f>O105</f>
        <v>7940312.9093040237</v>
      </c>
      <c r="P114" s="31"/>
      <c r="Q114" s="42"/>
      <c r="R114" s="52">
        <f>R105</f>
        <v>9392265.1207649279</v>
      </c>
      <c r="Z114" s="116"/>
      <c r="AA114" s="69">
        <v>56.87</v>
      </c>
      <c r="AC114" s="125"/>
      <c r="AD114" s="52">
        <v>24194897.29476985</v>
      </c>
      <c r="AF114" s="116"/>
      <c r="AG114" s="69">
        <f>AG105</f>
        <v>33.481611571304001</v>
      </c>
      <c r="AH114" s="31"/>
      <c r="AI114" s="125"/>
      <c r="AJ114" s="52">
        <f>AJ105</f>
        <v>13823390.408481047</v>
      </c>
      <c r="AL114" s="139">
        <f t="shared" si="65"/>
        <v>59.764627864819879</v>
      </c>
      <c r="AM114" s="248">
        <f t="shared" si="66"/>
        <v>175.41215756384182</v>
      </c>
      <c r="AO114" s="42"/>
      <c r="AP114" s="153">
        <f>AP105</f>
        <v>0</v>
      </c>
      <c r="AQ114" s="52">
        <f>AQ105</f>
        <v>145.18382152751136</v>
      </c>
      <c r="AS114" s="31"/>
      <c r="AT114" s="31"/>
      <c r="AV114" s="116"/>
      <c r="AW114" s="69">
        <f>+AW105</f>
        <v>9.2799999999999994</v>
      </c>
      <c r="AY114" s="125"/>
      <c r="AZ114" s="52">
        <f>AZ105</f>
        <v>5.5293537357719194</v>
      </c>
      <c r="BB114" s="31"/>
      <c r="BC114" s="31"/>
      <c r="BE114" s="129"/>
      <c r="BF114" s="52">
        <f>BF105</f>
        <v>716.22435574562166</v>
      </c>
      <c r="BH114" s="121"/>
      <c r="BI114" s="69">
        <f>BI105</f>
        <v>849.65999458437079</v>
      </c>
      <c r="BK114" s="129">
        <f t="shared" si="62"/>
        <v>12.779629720798821</v>
      </c>
      <c r="BL114" s="52">
        <f>BL105</f>
        <v>2.2809857031545309</v>
      </c>
      <c r="BM114" s="52">
        <f>BM105</f>
        <v>13.77061392887506</v>
      </c>
      <c r="BO114" s="31"/>
      <c r="BP114" s="31"/>
      <c r="BQ114" s="31"/>
    </row>
    <row r="115" spans="2:69" s="149" customFormat="1" ht="11.1" customHeight="1" x14ac:dyDescent="0.15">
      <c r="B115" s="398"/>
      <c r="C115" s="97">
        <v>42309</v>
      </c>
      <c r="D115" s="98">
        <v>533.72118416138119</v>
      </c>
      <c r="E115" s="111">
        <f t="shared" si="64"/>
        <v>492.3014516206029</v>
      </c>
      <c r="F115" s="108">
        <f t="shared" si="63"/>
        <v>1.4180876767997301E-2</v>
      </c>
      <c r="H115" s="64"/>
      <c r="I115" s="69">
        <f t="shared" si="67"/>
        <v>26.100824803501482</v>
      </c>
      <c r="K115" s="42"/>
      <c r="L115" s="52">
        <f>L105</f>
        <v>37.317619311145513</v>
      </c>
      <c r="N115" s="64"/>
      <c r="O115" s="69">
        <f>O105</f>
        <v>7940312.9093040237</v>
      </c>
      <c r="P115" s="31"/>
      <c r="Q115" s="42"/>
      <c r="R115" s="52">
        <f>R105</f>
        <v>9392265.1207649279</v>
      </c>
      <c r="Z115" s="116"/>
      <c r="AA115" s="69">
        <v>56.87</v>
      </c>
      <c r="AC115" s="125"/>
      <c r="AD115" s="52">
        <v>24194897.29476985</v>
      </c>
      <c r="AF115" s="116"/>
      <c r="AG115" s="69">
        <f>AG105</f>
        <v>33.481611571304001</v>
      </c>
      <c r="AH115" s="31"/>
      <c r="AI115" s="125"/>
      <c r="AJ115" s="52">
        <f>AJ105</f>
        <v>13823390.408481047</v>
      </c>
      <c r="AL115" s="139">
        <f t="shared" si="65"/>
        <v>60.792854963310852</v>
      </c>
      <c r="AM115" s="248">
        <f t="shared" si="66"/>
        <v>178.43005527785201</v>
      </c>
      <c r="AO115" s="42"/>
      <c r="AP115" s="153">
        <f>AP105</f>
        <v>0</v>
      </c>
      <c r="AQ115" s="52">
        <f>AQ105</f>
        <v>145.18382152751136</v>
      </c>
      <c r="AS115" s="31"/>
      <c r="AT115" s="31"/>
      <c r="AV115" s="116"/>
      <c r="AW115" s="69">
        <f>+AW105</f>
        <v>9.2799999999999994</v>
      </c>
      <c r="AY115" s="125"/>
      <c r="AZ115" s="52">
        <f>AZ105</f>
        <v>5.5293537357719194</v>
      </c>
      <c r="BB115" s="31"/>
      <c r="BC115" s="31"/>
      <c r="BE115" s="129"/>
      <c r="BF115" s="52">
        <f>BF105</f>
        <v>716.22435574562166</v>
      </c>
      <c r="BH115" s="121"/>
      <c r="BI115" s="69">
        <f>BI105</f>
        <v>849.65999458437079</v>
      </c>
      <c r="BK115" s="129">
        <f t="shared" si="62"/>
        <v>12.779629720798821</v>
      </c>
      <c r="BL115" s="52">
        <f>BL105</f>
        <v>2.2809857031545309</v>
      </c>
      <c r="BM115" s="52">
        <f>BM105</f>
        <v>13.77061392887506</v>
      </c>
      <c r="BO115" s="31"/>
      <c r="BP115" s="31"/>
      <c r="BQ115" s="31"/>
    </row>
    <row r="116" spans="2:69" s="149" customFormat="1" ht="11.1" customHeight="1" thickBot="1" x14ac:dyDescent="0.2">
      <c r="B116" s="399"/>
      <c r="C116" s="100">
        <v>42339</v>
      </c>
      <c r="D116" s="106">
        <v>540.10998685281947</v>
      </c>
      <c r="E116" s="106">
        <f t="shared" si="64"/>
        <v>499.25044809572711</v>
      </c>
      <c r="F116" s="107">
        <f t="shared" si="63"/>
        <v>1.4115328021578775E-2</v>
      </c>
      <c r="H116" s="71"/>
      <c r="I116" s="72">
        <f t="shared" si="67"/>
        <v>26.100824803501482</v>
      </c>
      <c r="K116" s="59"/>
      <c r="L116" s="54">
        <f>L105</f>
        <v>37.317619311145513</v>
      </c>
      <c r="N116" s="71"/>
      <c r="O116" s="72">
        <f>O105</f>
        <v>7940312.9093040237</v>
      </c>
      <c r="P116" s="31"/>
      <c r="Q116" s="59"/>
      <c r="R116" s="54">
        <f>R105</f>
        <v>9392265.1207649279</v>
      </c>
      <c r="Z116" s="118"/>
      <c r="AA116" s="243">
        <v>56.87</v>
      </c>
      <c r="AC116" s="126"/>
      <c r="AD116" s="247">
        <v>24194897.29476985</v>
      </c>
      <c r="AF116" s="118"/>
      <c r="AG116" s="243">
        <f>AG105</f>
        <v>33.481611571304001</v>
      </c>
      <c r="AH116" s="31"/>
      <c r="AI116" s="126"/>
      <c r="AJ116" s="247">
        <f>AJ105</f>
        <v>13823390.408481047</v>
      </c>
      <c r="AL116" s="139">
        <f t="shared" si="65"/>
        <v>61.654950947920305</v>
      </c>
      <c r="AM116" s="248">
        <f t="shared" si="66"/>
        <v>180.96034990345419</v>
      </c>
      <c r="AO116" s="59"/>
      <c r="AP116" s="174">
        <f>AP105</f>
        <v>0</v>
      </c>
      <c r="AQ116" s="54">
        <f>AQ105</f>
        <v>145.18382152751136</v>
      </c>
      <c r="AS116" s="31"/>
      <c r="AT116" s="31"/>
      <c r="AV116" s="118"/>
      <c r="AW116" s="243">
        <f>+AW105</f>
        <v>9.2799999999999994</v>
      </c>
      <c r="AY116" s="186"/>
      <c r="AZ116" s="56">
        <f>AZ105</f>
        <v>5.5293537357719194</v>
      </c>
      <c r="BB116" s="31"/>
      <c r="BC116" s="31"/>
      <c r="BE116" s="177"/>
      <c r="BF116" s="56">
        <f>BF105</f>
        <v>716.22435574562166</v>
      </c>
      <c r="BH116" s="179"/>
      <c r="BI116" s="67">
        <f>BI105</f>
        <v>849.65999458437079</v>
      </c>
      <c r="BK116" s="130">
        <f t="shared" si="62"/>
        <v>12.779629720798821</v>
      </c>
      <c r="BL116" s="54">
        <f>BL105</f>
        <v>2.2809857031545309</v>
      </c>
      <c r="BM116" s="54">
        <f>BM105</f>
        <v>13.77061392887506</v>
      </c>
      <c r="BO116" s="31"/>
      <c r="BP116" s="31"/>
      <c r="BQ116" s="31"/>
    </row>
    <row r="117" spans="2:69" s="149" customFormat="1" ht="11.1" customHeight="1" x14ac:dyDescent="0.15">
      <c r="B117" s="397">
        <v>2016</v>
      </c>
      <c r="C117" s="94">
        <v>42370</v>
      </c>
      <c r="D117" s="112">
        <v>560.43393746624088</v>
      </c>
      <c r="E117" s="111">
        <f>AVERAGE(D105:D116)</f>
        <v>505.39799308825258</v>
      </c>
      <c r="F117" s="108">
        <f t="shared" si="63"/>
        <v>1.2313549273663802E-2</v>
      </c>
      <c r="H117" s="62"/>
      <c r="I117" s="73">
        <f>(1+(($E$116-$E$14)/$E$14))*$H$20*0.98</f>
        <v>30.381270545902421</v>
      </c>
      <c r="K117" s="40"/>
      <c r="L117" s="57">
        <f>(1+((E116-$E$14)/$E$14))*K$20*0.98</f>
        <v>43.437580879390779</v>
      </c>
      <c r="N117" s="62"/>
      <c r="O117" s="73">
        <f>(1+((E116-$E$14)/$E$14))*N$20*0.98</f>
        <v>9242496.9912952594</v>
      </c>
      <c r="P117" s="31"/>
      <c r="Q117" s="40"/>
      <c r="R117" s="57">
        <f>(1+((E116-$E$14)/$E$14))*Q$20*0.98</f>
        <v>10932564.385265021</v>
      </c>
      <c r="Z117" s="119"/>
      <c r="AA117" s="178">
        <f>AG105</f>
        <v>33.481611571304001</v>
      </c>
      <c r="AC117" s="122"/>
      <c r="AD117" s="246">
        <f>AJ105</f>
        <v>13823390.408481047</v>
      </c>
      <c r="AF117" s="119"/>
      <c r="AG117" s="178">
        <f>19.01*0.98*(1+((E116-$E$93)/$E$93))</f>
        <v>22.532447212156878</v>
      </c>
      <c r="AH117" s="31"/>
      <c r="AI117" s="122"/>
      <c r="AJ117" s="246">
        <f>7616514.53*0.98*(1+((E116-$E$93)/$E$93))</f>
        <v>9027812.2876302395</v>
      </c>
      <c r="AL117" s="148">
        <f>AL116*(1+F116)*0.98</f>
        <v>61.274726188610451</v>
      </c>
      <c r="AM117" s="73">
        <f>AM116*(1+F116)*0.98</f>
        <v>179.84437130921626</v>
      </c>
      <c r="AO117" s="40"/>
      <c r="AP117" s="172">
        <v>0</v>
      </c>
      <c r="AQ117" s="175">
        <f>AP$20*0.98*(1+((E116-$E$14)/$E$14))</f>
        <v>168.99347028005056</v>
      </c>
      <c r="AS117" s="429"/>
      <c r="AT117" s="430"/>
      <c r="AV117" s="119"/>
      <c r="AW117" s="178">
        <f>AZ105</f>
        <v>5.5293537357719194</v>
      </c>
      <c r="AY117" s="183"/>
      <c r="AZ117" s="176">
        <f>3.18*0.98*(1+((E116-$E$93)/$E$93))</f>
        <v>3.7692363037695356</v>
      </c>
      <c r="BB117" s="31"/>
      <c r="BC117" s="31"/>
      <c r="BE117" s="128"/>
      <c r="BF117" s="176">
        <f>(BF105)*0.98*(1+((E116-$E$57)/$E$57))</f>
        <v>877.0299855383214</v>
      </c>
      <c r="BH117" s="120"/>
      <c r="BI117" s="178">
        <f>(BI105)*0.98*(1+((E116-$E$57)/$E$57))</f>
        <v>1040.4243960498354</v>
      </c>
      <c r="BK117" s="183">
        <f>12.55*0.98*(1+((E116-$E$93)/$E$93))</f>
        <v>14.875445161103043</v>
      </c>
      <c r="BL117" s="184">
        <f>2.24*0.98*(1+((E116-$E$93)/$E$93))</f>
        <v>2.6550595347307424</v>
      </c>
      <c r="BM117" s="176">
        <f>13.09*0.98*(1+((E116-$E$57)/$E$57))</f>
        <v>16.028947380245253</v>
      </c>
      <c r="BO117" s="31"/>
      <c r="BP117" s="31"/>
      <c r="BQ117" s="31"/>
    </row>
    <row r="118" spans="2:69" s="149" customFormat="1" ht="11.1" customHeight="1" x14ac:dyDescent="0.15">
      <c r="B118" s="398"/>
      <c r="C118" s="97">
        <v>42401</v>
      </c>
      <c r="D118" s="111">
        <v>563.16107640170344</v>
      </c>
      <c r="E118" s="111">
        <f t="shared" si="64"/>
        <v>512.33498787710596</v>
      </c>
      <c r="F118" s="108">
        <f>(E118-E117)/E117</f>
        <v>1.3725805966233913E-2</v>
      </c>
      <c r="H118" s="64"/>
      <c r="I118" s="69">
        <f>+I117</f>
        <v>30.381270545902421</v>
      </c>
      <c r="K118" s="42"/>
      <c r="L118" s="52">
        <f>+L117</f>
        <v>43.437580879390779</v>
      </c>
      <c r="N118" s="64"/>
      <c r="O118" s="69">
        <f>+O117</f>
        <v>9242496.9912952594</v>
      </c>
      <c r="P118" s="31"/>
      <c r="Q118" s="42"/>
      <c r="R118" s="52">
        <f>+R117</f>
        <v>10932564.385265021</v>
      </c>
      <c r="Z118" s="116"/>
      <c r="AA118" s="69">
        <f>+AA117</f>
        <v>33.481611571304001</v>
      </c>
      <c r="AC118" s="125"/>
      <c r="AD118" s="52">
        <f>+AD117</f>
        <v>13823390.408481047</v>
      </c>
      <c r="AF118" s="116"/>
      <c r="AG118" s="69">
        <f>+AG117</f>
        <v>22.532447212156878</v>
      </c>
      <c r="AH118" s="31"/>
      <c r="AI118" s="125"/>
      <c r="AJ118" s="52">
        <f>+AJ117</f>
        <v>9027812.2876302395</v>
      </c>
      <c r="AL118" s="139">
        <f t="shared" ref="AL118:AL128" si="68">AL117*(1+F117)</f>
        <v>62.02923554876417</v>
      </c>
      <c r="AM118" s="248">
        <f t="shared" ref="AM118:AM128" si="69">AM117*(1+F117)</f>
        <v>182.0588938369234</v>
      </c>
      <c r="AO118" s="42"/>
      <c r="AP118" s="153">
        <f>AP117</f>
        <v>0</v>
      </c>
      <c r="AQ118" s="52">
        <f>+AQ117</f>
        <v>168.99347028005056</v>
      </c>
      <c r="AS118" s="431"/>
      <c r="AT118" s="432"/>
      <c r="AV118" s="116"/>
      <c r="AW118" s="69">
        <f>+AW117</f>
        <v>5.5293537357719194</v>
      </c>
      <c r="AY118" s="125"/>
      <c r="AZ118" s="52">
        <f>+AZ117</f>
        <v>3.7692363037695356</v>
      </c>
      <c r="BB118" s="31"/>
      <c r="BC118" s="31"/>
      <c r="BE118" s="129"/>
      <c r="BF118" s="52">
        <f>+BF117</f>
        <v>877.0299855383214</v>
      </c>
      <c r="BH118" s="121"/>
      <c r="BI118" s="69">
        <f>+BI117</f>
        <v>1040.4243960498354</v>
      </c>
      <c r="BK118" s="125">
        <f>+BK117</f>
        <v>14.875445161103043</v>
      </c>
      <c r="BL118" s="185">
        <f t="shared" ref="BL118:BM118" si="70">+BL117</f>
        <v>2.6550595347307424</v>
      </c>
      <c r="BM118" s="52">
        <f t="shared" si="70"/>
        <v>16.028947380245253</v>
      </c>
      <c r="BO118" s="31"/>
      <c r="BP118" s="31"/>
      <c r="BQ118" s="31"/>
    </row>
    <row r="119" spans="2:69" s="149" customFormat="1" ht="11.1" customHeight="1" x14ac:dyDescent="0.15">
      <c r="B119" s="398"/>
      <c r="C119" s="97">
        <v>42430</v>
      </c>
      <c r="D119" s="98">
        <v>543.54690239406659</v>
      </c>
      <c r="E119" s="111">
        <f t="shared" si="64"/>
        <v>519.1673867136675</v>
      </c>
      <c r="F119" s="108">
        <f>(E119-E118)/E118</f>
        <v>1.3335803718719339E-2</v>
      </c>
      <c r="H119" s="64"/>
      <c r="I119" s="69">
        <f t="shared" ref="I119:I128" si="71">+I118</f>
        <v>30.381270545902421</v>
      </c>
      <c r="K119" s="42"/>
      <c r="L119" s="52">
        <f t="shared" ref="L119:L128" si="72">+L118</f>
        <v>43.437580879390779</v>
      </c>
      <c r="N119" s="64"/>
      <c r="O119" s="69">
        <f t="shared" ref="O119:O128" si="73">+O118</f>
        <v>9242496.9912952594</v>
      </c>
      <c r="P119" s="31"/>
      <c r="Q119" s="42"/>
      <c r="R119" s="52">
        <f t="shared" ref="R119:R128" si="74">+R118</f>
        <v>10932564.385265021</v>
      </c>
      <c r="Z119" s="116"/>
      <c r="AA119" s="69">
        <f>+AA117</f>
        <v>33.481611571304001</v>
      </c>
      <c r="AC119" s="125"/>
      <c r="AD119" s="52">
        <f>+AD117</f>
        <v>13823390.408481047</v>
      </c>
      <c r="AF119" s="116"/>
      <c r="AG119" s="69">
        <f t="shared" ref="AG119:AG128" si="75">+AG118</f>
        <v>22.532447212156878</v>
      </c>
      <c r="AH119" s="31"/>
      <c r="AI119" s="125"/>
      <c r="AJ119" s="52">
        <f t="shared" ref="AJ119:AJ128" si="76">+AJ118</f>
        <v>9027812.2876302395</v>
      </c>
      <c r="AL119" s="139">
        <f t="shared" si="68"/>
        <v>62.88063680014033</v>
      </c>
      <c r="AM119" s="248">
        <f t="shared" si="69"/>
        <v>184.55779888815621</v>
      </c>
      <c r="AO119" s="42"/>
      <c r="AP119" s="153">
        <f>AP117</f>
        <v>0</v>
      </c>
      <c r="AQ119" s="52">
        <f t="shared" ref="AQ119:AQ128" si="77">+AQ118</f>
        <v>168.99347028005056</v>
      </c>
      <c r="AS119" s="431"/>
      <c r="AT119" s="432"/>
      <c r="AV119" s="116"/>
      <c r="AW119" s="69">
        <f>+AW117</f>
        <v>5.5293537357719194</v>
      </c>
      <c r="AY119" s="125"/>
      <c r="AZ119" s="52">
        <f t="shared" ref="AZ119:AZ128" si="78">+AZ118</f>
        <v>3.7692363037695356</v>
      </c>
      <c r="BB119" s="31"/>
      <c r="BC119" s="31"/>
      <c r="BE119" s="129"/>
      <c r="BF119" s="52">
        <f t="shared" ref="BF119:BF128" si="79">+BF118</f>
        <v>877.0299855383214</v>
      </c>
      <c r="BH119" s="121"/>
      <c r="BI119" s="69">
        <f t="shared" ref="BI119:BI128" si="80">+BI118</f>
        <v>1040.4243960498354</v>
      </c>
      <c r="BK119" s="125">
        <f t="shared" ref="BK119:BK128" si="81">+BK118</f>
        <v>14.875445161103043</v>
      </c>
      <c r="BL119" s="185">
        <f t="shared" ref="BL119:BL128" si="82">+BL118</f>
        <v>2.6550595347307424</v>
      </c>
      <c r="BM119" s="52">
        <f t="shared" ref="BM119:BM128" si="83">+BM118</f>
        <v>16.028947380245253</v>
      </c>
      <c r="BO119" s="31"/>
      <c r="BP119" s="31"/>
      <c r="BQ119" s="31"/>
    </row>
    <row r="120" spans="2:69" s="149" customFormat="1" ht="11.1" customHeight="1" x14ac:dyDescent="0.15">
      <c r="B120" s="398"/>
      <c r="C120" s="97">
        <v>42461</v>
      </c>
      <c r="D120" s="98">
        <v>531.02765144543889</v>
      </c>
      <c r="E120" s="111">
        <f t="shared" si="64"/>
        <v>523.64409207016968</v>
      </c>
      <c r="F120" s="108">
        <f>(E120-E119)/E119</f>
        <v>8.6228555010740369E-3</v>
      </c>
      <c r="H120" s="64"/>
      <c r="I120" s="69">
        <f t="shared" si="71"/>
        <v>30.381270545902421</v>
      </c>
      <c r="K120" s="42"/>
      <c r="L120" s="52">
        <f t="shared" si="72"/>
        <v>43.437580879390779</v>
      </c>
      <c r="N120" s="64"/>
      <c r="O120" s="69">
        <f t="shared" si="73"/>
        <v>9242496.9912952594</v>
      </c>
      <c r="P120" s="31"/>
      <c r="Q120" s="42"/>
      <c r="R120" s="52">
        <f t="shared" si="74"/>
        <v>10932564.385265021</v>
      </c>
      <c r="Z120" s="116"/>
      <c r="AA120" s="69">
        <f>+AA117</f>
        <v>33.481611571304001</v>
      </c>
      <c r="AC120" s="125"/>
      <c r="AD120" s="52">
        <f>+AD117</f>
        <v>13823390.408481047</v>
      </c>
      <c r="AF120" s="116"/>
      <c r="AG120" s="69">
        <f t="shared" si="75"/>
        <v>22.532447212156878</v>
      </c>
      <c r="AH120" s="31"/>
      <c r="AI120" s="125"/>
      <c r="AJ120" s="52">
        <f t="shared" si="76"/>
        <v>9027812.2876302395</v>
      </c>
      <c r="AL120" s="139">
        <f t="shared" si="68"/>
        <v>63.719200630215077</v>
      </c>
      <c r="AM120" s="248">
        <f t="shared" si="69"/>
        <v>187.01902546888752</v>
      </c>
      <c r="AO120" s="42"/>
      <c r="AP120" s="153">
        <f>AP117</f>
        <v>0</v>
      </c>
      <c r="AQ120" s="52">
        <f t="shared" si="77"/>
        <v>168.99347028005056</v>
      </c>
      <c r="AS120" s="433">
        <f t="shared" ref="AS120:AS129" si="84">+(AG120+((BF120/1.16)/66.17)+L120)</f>
        <v>77.396056992267347</v>
      </c>
      <c r="AT120" s="434"/>
      <c r="AV120" s="116"/>
      <c r="AW120" s="69">
        <f>+AW117</f>
        <v>5.5293537357719194</v>
      </c>
      <c r="AY120" s="125"/>
      <c r="AZ120" s="52">
        <f t="shared" si="78"/>
        <v>3.7692363037695356</v>
      </c>
      <c r="BB120" s="31"/>
      <c r="BC120" s="31"/>
      <c r="BE120" s="129"/>
      <c r="BF120" s="52">
        <f t="shared" si="79"/>
        <v>877.0299855383214</v>
      </c>
      <c r="BH120" s="121"/>
      <c r="BI120" s="69">
        <f t="shared" si="80"/>
        <v>1040.4243960498354</v>
      </c>
      <c r="BK120" s="125">
        <f t="shared" si="81"/>
        <v>14.875445161103043</v>
      </c>
      <c r="BL120" s="185">
        <f t="shared" si="82"/>
        <v>2.6550595347307424</v>
      </c>
      <c r="BM120" s="52">
        <f t="shared" si="83"/>
        <v>16.028947380245253</v>
      </c>
      <c r="BO120" s="31"/>
      <c r="BP120" s="31"/>
      <c r="BQ120" s="31"/>
    </row>
    <row r="121" spans="2:69" s="149" customFormat="1" ht="11.1" customHeight="1" x14ac:dyDescent="0.15">
      <c r="B121" s="398"/>
      <c r="C121" s="97">
        <v>42491</v>
      </c>
      <c r="D121" s="98">
        <v>547.17815554776359</v>
      </c>
      <c r="E121" s="111">
        <f>AVERAGE(D109:D120)</f>
        <v>528.36305506409894</v>
      </c>
      <c r="F121" s="108">
        <f>(E121-E120)/E120</f>
        <v>9.0117754890986414E-3</v>
      </c>
      <c r="H121" s="64"/>
      <c r="I121" s="69">
        <f t="shared" si="71"/>
        <v>30.381270545902421</v>
      </c>
      <c r="K121" s="42"/>
      <c r="L121" s="52">
        <f t="shared" si="72"/>
        <v>43.437580879390779</v>
      </c>
      <c r="N121" s="64"/>
      <c r="O121" s="69">
        <f t="shared" si="73"/>
        <v>9242496.9912952594</v>
      </c>
      <c r="P121" s="31"/>
      <c r="Q121" s="42"/>
      <c r="R121" s="52">
        <f t="shared" si="74"/>
        <v>10932564.385265021</v>
      </c>
      <c r="Z121" s="115"/>
      <c r="AA121" s="69">
        <f>+AA117</f>
        <v>33.481611571304001</v>
      </c>
      <c r="AC121" s="124"/>
      <c r="AD121" s="52">
        <f>+AD117</f>
        <v>13823390.408481047</v>
      </c>
      <c r="AF121" s="115"/>
      <c r="AG121" s="69">
        <f t="shared" si="75"/>
        <v>22.532447212156878</v>
      </c>
      <c r="AH121" s="31"/>
      <c r="AI121" s="124"/>
      <c r="AJ121" s="52">
        <f t="shared" si="76"/>
        <v>9027812.2876302395</v>
      </c>
      <c r="AL121" s="139">
        <f t="shared" si="68"/>
        <v>64.268642089893376</v>
      </c>
      <c r="AM121" s="248">
        <f t="shared" si="69"/>
        <v>188.63166350145744</v>
      </c>
      <c r="AO121" s="42"/>
      <c r="AP121" s="153">
        <f>AP117</f>
        <v>0</v>
      </c>
      <c r="AQ121" s="52">
        <f t="shared" si="77"/>
        <v>168.99347028005056</v>
      </c>
      <c r="AS121" s="402">
        <f t="shared" si="84"/>
        <v>77.396056992267347</v>
      </c>
      <c r="AT121" s="403"/>
      <c r="AV121" s="115"/>
      <c r="AW121" s="69">
        <f>+AW117</f>
        <v>5.5293537357719194</v>
      </c>
      <c r="AY121" s="125"/>
      <c r="AZ121" s="52">
        <f t="shared" si="78"/>
        <v>3.7692363037695356</v>
      </c>
      <c r="BB121" s="31"/>
      <c r="BC121" s="31"/>
      <c r="BE121" s="129"/>
      <c r="BF121" s="52">
        <f t="shared" si="79"/>
        <v>877.0299855383214</v>
      </c>
      <c r="BH121" s="121"/>
      <c r="BI121" s="69">
        <f t="shared" si="80"/>
        <v>1040.4243960498354</v>
      </c>
      <c r="BK121" s="125">
        <f t="shared" si="81"/>
        <v>14.875445161103043</v>
      </c>
      <c r="BL121" s="185">
        <f t="shared" si="82"/>
        <v>2.6550595347307424</v>
      </c>
      <c r="BM121" s="52">
        <f t="shared" si="83"/>
        <v>16.028947380245253</v>
      </c>
      <c r="BO121" s="31"/>
      <c r="BP121" s="31"/>
      <c r="BQ121" s="31"/>
    </row>
    <row r="122" spans="2:69" s="149" customFormat="1" ht="11.1" customHeight="1" x14ac:dyDescent="0.15">
      <c r="B122" s="398"/>
      <c r="C122" s="97">
        <v>42522</v>
      </c>
      <c r="D122" s="98">
        <v>537.69280053995396</v>
      </c>
      <c r="E122" s="111">
        <f>AVERAGE(D110:D121)</f>
        <v>533.61700175563442</v>
      </c>
      <c r="F122" s="108">
        <f>(E122-E121)/E121</f>
        <v>9.9438192000348823E-3</v>
      </c>
      <c r="H122" s="64"/>
      <c r="I122" s="69">
        <f t="shared" si="71"/>
        <v>30.381270545902421</v>
      </c>
      <c r="K122" s="42"/>
      <c r="L122" s="52">
        <f t="shared" si="72"/>
        <v>43.437580879390779</v>
      </c>
      <c r="N122" s="64"/>
      <c r="O122" s="69">
        <f t="shared" si="73"/>
        <v>9242496.9912952594</v>
      </c>
      <c r="P122" s="31"/>
      <c r="Q122" s="42"/>
      <c r="R122" s="52">
        <f t="shared" si="74"/>
        <v>10932564.385265021</v>
      </c>
      <c r="Z122" s="116"/>
      <c r="AA122" s="69">
        <f>+AA117</f>
        <v>33.481611571304001</v>
      </c>
      <c r="AC122" s="125"/>
      <c r="AD122" s="52">
        <f>+AD117</f>
        <v>13823390.408481047</v>
      </c>
      <c r="AF122" s="116"/>
      <c r="AG122" s="69">
        <f t="shared" si="75"/>
        <v>22.532447212156878</v>
      </c>
      <c r="AH122" s="31"/>
      <c r="AI122" s="125"/>
      <c r="AJ122" s="52">
        <f t="shared" si="76"/>
        <v>9027812.2876302395</v>
      </c>
      <c r="AL122" s="139">
        <f t="shared" si="68"/>
        <v>64.847816663396728</v>
      </c>
      <c r="AM122" s="248">
        <f t="shared" si="69"/>
        <v>190.33156970306777</v>
      </c>
      <c r="AO122" s="42"/>
      <c r="AP122" s="153">
        <f>AP117</f>
        <v>0</v>
      </c>
      <c r="AQ122" s="52">
        <f t="shared" si="77"/>
        <v>168.99347028005056</v>
      </c>
      <c r="AS122" s="402">
        <f t="shared" si="84"/>
        <v>77.396056992267347</v>
      </c>
      <c r="AT122" s="403"/>
      <c r="AV122" s="116"/>
      <c r="AW122" s="69">
        <f>+AW117</f>
        <v>5.5293537357719194</v>
      </c>
      <c r="AY122" s="125"/>
      <c r="AZ122" s="52">
        <f t="shared" si="78"/>
        <v>3.7692363037695356</v>
      </c>
      <c r="BB122" s="31"/>
      <c r="BC122" s="31"/>
      <c r="BE122" s="129"/>
      <c r="BF122" s="52">
        <f t="shared" si="79"/>
        <v>877.0299855383214</v>
      </c>
      <c r="BH122" s="121"/>
      <c r="BI122" s="69">
        <f t="shared" si="80"/>
        <v>1040.4243960498354</v>
      </c>
      <c r="BK122" s="125">
        <f t="shared" si="81"/>
        <v>14.875445161103043</v>
      </c>
      <c r="BL122" s="185">
        <f t="shared" si="82"/>
        <v>2.6550595347307424</v>
      </c>
      <c r="BM122" s="52">
        <f t="shared" si="83"/>
        <v>16.028947380245253</v>
      </c>
      <c r="BO122" s="31"/>
      <c r="BP122" s="31"/>
      <c r="BQ122" s="31"/>
    </row>
    <row r="123" spans="2:69" s="149" customFormat="1" ht="11.1" customHeight="1" x14ac:dyDescent="0.15">
      <c r="B123" s="398"/>
      <c r="C123" s="97">
        <v>42552</v>
      </c>
      <c r="D123" s="98">
        <v>548.85124558812311</v>
      </c>
      <c r="E123" s="111">
        <f t="shared" ref="E123:E125" si="85">AVERAGE(D111:D122)</f>
        <v>537.65322066438705</v>
      </c>
      <c r="F123" s="108">
        <f t="shared" ref="F123:F125" si="86">(E123-E122)/E122</f>
        <v>7.5638873864086213E-3</v>
      </c>
      <c r="H123" s="64"/>
      <c r="I123" s="69">
        <f t="shared" si="71"/>
        <v>30.381270545902421</v>
      </c>
      <c r="K123" s="42"/>
      <c r="L123" s="52">
        <f t="shared" si="72"/>
        <v>43.437580879390779</v>
      </c>
      <c r="N123" s="64"/>
      <c r="O123" s="69">
        <f t="shared" si="73"/>
        <v>9242496.9912952594</v>
      </c>
      <c r="P123" s="31"/>
      <c r="Q123" s="42"/>
      <c r="R123" s="52">
        <f t="shared" si="74"/>
        <v>10932564.385265021</v>
      </c>
      <c r="Z123" s="116"/>
      <c r="AA123" s="69">
        <f>+AA117</f>
        <v>33.481611571304001</v>
      </c>
      <c r="AC123" s="125"/>
      <c r="AD123" s="52">
        <f>+AD117</f>
        <v>13823390.408481047</v>
      </c>
      <c r="AF123" s="116"/>
      <c r="AG123" s="69">
        <f t="shared" si="75"/>
        <v>22.532447212156878</v>
      </c>
      <c r="AH123" s="31"/>
      <c r="AI123" s="125"/>
      <c r="AJ123" s="52">
        <f t="shared" si="76"/>
        <v>9027812.2876302395</v>
      </c>
      <c r="AL123" s="139">
        <f t="shared" si="68"/>
        <v>65.492651627814553</v>
      </c>
      <c r="AM123" s="248">
        <f t="shared" si="69"/>
        <v>192.22419242025393</v>
      </c>
      <c r="AO123" s="42"/>
      <c r="AP123" s="153">
        <f>AP117</f>
        <v>0</v>
      </c>
      <c r="AQ123" s="52">
        <f t="shared" si="77"/>
        <v>168.99347028005056</v>
      </c>
      <c r="AS123" s="402">
        <f t="shared" si="84"/>
        <v>77.396056992267347</v>
      </c>
      <c r="AT123" s="403"/>
      <c r="AV123" s="116"/>
      <c r="AW123" s="69">
        <f>+AW117</f>
        <v>5.5293537357719194</v>
      </c>
      <c r="AY123" s="125"/>
      <c r="AZ123" s="52">
        <f t="shared" si="78"/>
        <v>3.7692363037695356</v>
      </c>
      <c r="BB123" s="31"/>
      <c r="BC123" s="31"/>
      <c r="BE123" s="129"/>
      <c r="BF123" s="52">
        <f t="shared" si="79"/>
        <v>877.0299855383214</v>
      </c>
      <c r="BH123" s="121"/>
      <c r="BI123" s="69">
        <f t="shared" si="80"/>
        <v>1040.4243960498354</v>
      </c>
      <c r="BK123" s="125">
        <f t="shared" si="81"/>
        <v>14.875445161103043</v>
      </c>
      <c r="BL123" s="185">
        <f t="shared" si="82"/>
        <v>2.6550595347307424</v>
      </c>
      <c r="BM123" s="52">
        <f t="shared" si="83"/>
        <v>16.028947380245253</v>
      </c>
      <c r="BO123" s="31"/>
      <c r="BP123" s="31"/>
      <c r="BQ123" s="31"/>
    </row>
    <row r="124" spans="2:69" s="149" customFormat="1" ht="11.1" customHeight="1" x14ac:dyDescent="0.15">
      <c r="B124" s="398"/>
      <c r="C124" s="97">
        <v>42583</v>
      </c>
      <c r="D124" s="98">
        <v>536.76190878716181</v>
      </c>
      <c r="E124" s="111">
        <f t="shared" si="85"/>
        <v>540.82815279528711</v>
      </c>
      <c r="F124" s="108">
        <f>(E124-E123)/E123</f>
        <v>5.9051671391026801E-3</v>
      </c>
      <c r="H124" s="64"/>
      <c r="I124" s="69">
        <f t="shared" si="71"/>
        <v>30.381270545902421</v>
      </c>
      <c r="K124" s="42"/>
      <c r="L124" s="52">
        <f t="shared" si="72"/>
        <v>43.437580879390779</v>
      </c>
      <c r="N124" s="64"/>
      <c r="O124" s="69">
        <f t="shared" si="73"/>
        <v>9242496.9912952594</v>
      </c>
      <c r="P124" s="31"/>
      <c r="Q124" s="42"/>
      <c r="R124" s="52">
        <f t="shared" si="74"/>
        <v>10932564.385265021</v>
      </c>
      <c r="Z124" s="116"/>
      <c r="AA124" s="69">
        <f>+AA117</f>
        <v>33.481611571304001</v>
      </c>
      <c r="AC124" s="125"/>
      <c r="AD124" s="52">
        <f>+AD117</f>
        <v>13823390.408481047</v>
      </c>
      <c r="AF124" s="116"/>
      <c r="AG124" s="69">
        <f t="shared" si="75"/>
        <v>22.532447212156878</v>
      </c>
      <c r="AH124" s="31"/>
      <c r="AI124" s="125"/>
      <c r="AJ124" s="52">
        <f t="shared" si="76"/>
        <v>9027812.2876302395</v>
      </c>
      <c r="AL124" s="139">
        <f t="shared" si="68"/>
        <v>65.988030669364633</v>
      </c>
      <c r="AM124" s="248">
        <f t="shared" si="69"/>
        <v>193.67815456466406</v>
      </c>
      <c r="AO124" s="42"/>
      <c r="AP124" s="153">
        <f>AP117</f>
        <v>0</v>
      </c>
      <c r="AQ124" s="52">
        <f t="shared" si="77"/>
        <v>168.99347028005056</v>
      </c>
      <c r="AS124" s="402">
        <f t="shared" si="84"/>
        <v>77.396056992267347</v>
      </c>
      <c r="AT124" s="403"/>
      <c r="AV124" s="116"/>
      <c r="AW124" s="69">
        <f>+AW117</f>
        <v>5.5293537357719194</v>
      </c>
      <c r="AY124" s="125"/>
      <c r="AZ124" s="52">
        <f t="shared" si="78"/>
        <v>3.7692363037695356</v>
      </c>
      <c r="BB124" s="31"/>
      <c r="BC124" s="31"/>
      <c r="BE124" s="129"/>
      <c r="BF124" s="52">
        <f t="shared" si="79"/>
        <v>877.0299855383214</v>
      </c>
      <c r="BH124" s="121"/>
      <c r="BI124" s="69">
        <f t="shared" si="80"/>
        <v>1040.4243960498354</v>
      </c>
      <c r="BK124" s="125">
        <f t="shared" si="81"/>
        <v>14.875445161103043</v>
      </c>
      <c r="BL124" s="185">
        <f t="shared" si="82"/>
        <v>2.6550595347307424</v>
      </c>
      <c r="BM124" s="52">
        <f t="shared" si="83"/>
        <v>16.028947380245253</v>
      </c>
      <c r="BO124" s="31"/>
      <c r="BP124" s="31"/>
      <c r="BQ124" s="31"/>
    </row>
    <row r="125" spans="2:69" s="149" customFormat="1" ht="11.1" customHeight="1" x14ac:dyDescent="0.15">
      <c r="B125" s="398"/>
      <c r="C125" s="97">
        <v>42614</v>
      </c>
      <c r="D125" s="98">
        <v>532.423764900739</v>
      </c>
      <c r="E125" s="111">
        <f t="shared" si="85"/>
        <v>541.38350822167229</v>
      </c>
      <c r="F125" s="108">
        <f t="shared" si="86"/>
        <v>1.0268611637815168E-3</v>
      </c>
      <c r="H125" s="64"/>
      <c r="I125" s="69">
        <f t="shared" si="71"/>
        <v>30.381270545902421</v>
      </c>
      <c r="K125" s="42"/>
      <c r="L125" s="52">
        <f t="shared" si="72"/>
        <v>43.437580879390779</v>
      </c>
      <c r="N125" s="64"/>
      <c r="O125" s="69">
        <f t="shared" si="73"/>
        <v>9242496.9912952594</v>
      </c>
      <c r="P125" s="31"/>
      <c r="Q125" s="42"/>
      <c r="R125" s="52">
        <f t="shared" si="74"/>
        <v>10932564.385265021</v>
      </c>
      <c r="Z125" s="116"/>
      <c r="AA125" s="69">
        <f>+AA117</f>
        <v>33.481611571304001</v>
      </c>
      <c r="AC125" s="125"/>
      <c r="AD125" s="52">
        <f>+AD117</f>
        <v>13823390.408481047</v>
      </c>
      <c r="AF125" s="116"/>
      <c r="AG125" s="69">
        <f t="shared" si="75"/>
        <v>22.532447212156878</v>
      </c>
      <c r="AH125" s="31"/>
      <c r="AI125" s="125"/>
      <c r="AJ125" s="52">
        <f t="shared" si="76"/>
        <v>9027812.2876302395</v>
      </c>
      <c r="AL125" s="139">
        <f t="shared" si="68"/>
        <v>66.377701019647461</v>
      </c>
      <c r="AM125" s="248">
        <f t="shared" si="69"/>
        <v>194.82185643856135</v>
      </c>
      <c r="AO125" s="42"/>
      <c r="AP125" s="153">
        <f>AP117</f>
        <v>0</v>
      </c>
      <c r="AQ125" s="52">
        <f t="shared" si="77"/>
        <v>168.99347028005056</v>
      </c>
      <c r="AS125" s="402">
        <f t="shared" si="84"/>
        <v>77.396056992267347</v>
      </c>
      <c r="AT125" s="403"/>
      <c r="AV125" s="116"/>
      <c r="AW125" s="69">
        <f>+AW117</f>
        <v>5.5293537357719194</v>
      </c>
      <c r="AY125" s="125"/>
      <c r="AZ125" s="52">
        <f t="shared" si="78"/>
        <v>3.7692363037695356</v>
      </c>
      <c r="BB125" s="31"/>
      <c r="BC125" s="31"/>
      <c r="BE125" s="129"/>
      <c r="BF125" s="52">
        <f t="shared" si="79"/>
        <v>877.0299855383214</v>
      </c>
      <c r="BH125" s="121"/>
      <c r="BI125" s="69">
        <f t="shared" si="80"/>
        <v>1040.4243960498354</v>
      </c>
      <c r="BK125" s="125">
        <f t="shared" si="81"/>
        <v>14.875445161103043</v>
      </c>
      <c r="BL125" s="185">
        <f t="shared" si="82"/>
        <v>2.6550595347307424</v>
      </c>
      <c r="BM125" s="52">
        <f t="shared" si="83"/>
        <v>16.028947380245253</v>
      </c>
      <c r="BO125" s="31"/>
      <c r="BP125" s="31"/>
      <c r="BQ125" s="31"/>
    </row>
    <row r="126" spans="2:69" s="149" customFormat="1" ht="11.1" customHeight="1" x14ac:dyDescent="0.15">
      <c r="B126" s="398"/>
      <c r="C126" s="97">
        <v>42644</v>
      </c>
      <c r="D126" s="98">
        <v>539.76193701493276</v>
      </c>
      <c r="E126" s="111">
        <f t="shared" ref="E126:E127" si="87">AVERAGE(D114:D125)</f>
        <v>541.30096465263773</v>
      </c>
      <c r="F126" s="108">
        <f t="shared" ref="F126:F128" si="88">(E126-E125)/E125</f>
        <v>-1.5246783062471464E-4</v>
      </c>
      <c r="H126" s="64"/>
      <c r="I126" s="69">
        <f t="shared" si="71"/>
        <v>30.381270545902421</v>
      </c>
      <c r="K126" s="42"/>
      <c r="L126" s="52">
        <f t="shared" si="72"/>
        <v>43.437580879390779</v>
      </c>
      <c r="N126" s="64"/>
      <c r="O126" s="69">
        <f t="shared" si="73"/>
        <v>9242496.9912952594</v>
      </c>
      <c r="P126" s="31"/>
      <c r="Q126" s="42"/>
      <c r="R126" s="52">
        <f t="shared" si="74"/>
        <v>10932564.385265021</v>
      </c>
      <c r="Z126" s="116"/>
      <c r="AA126" s="69">
        <f>+AA117</f>
        <v>33.481611571304001</v>
      </c>
      <c r="AC126" s="125"/>
      <c r="AD126" s="52">
        <f>+AD117</f>
        <v>13823390.408481047</v>
      </c>
      <c r="AF126" s="116"/>
      <c r="AG126" s="69">
        <f t="shared" si="75"/>
        <v>22.532447212156878</v>
      </c>
      <c r="AH126" s="31"/>
      <c r="AI126" s="125"/>
      <c r="AJ126" s="52">
        <f t="shared" si="76"/>
        <v>9027812.2876302395</v>
      </c>
      <c r="AL126" s="139">
        <f t="shared" si="68"/>
        <v>66.445861702965644</v>
      </c>
      <c r="AM126" s="248">
        <f t="shared" si="69"/>
        <v>195.02191143679394</v>
      </c>
      <c r="AO126" s="42"/>
      <c r="AP126" s="153">
        <f>AP117</f>
        <v>0</v>
      </c>
      <c r="AQ126" s="52">
        <f t="shared" si="77"/>
        <v>168.99347028005056</v>
      </c>
      <c r="AS126" s="402">
        <f t="shared" si="84"/>
        <v>77.396056992267347</v>
      </c>
      <c r="AT126" s="403"/>
      <c r="AV126" s="116"/>
      <c r="AW126" s="69">
        <f>+AW117</f>
        <v>5.5293537357719194</v>
      </c>
      <c r="AY126" s="125"/>
      <c r="AZ126" s="52">
        <f t="shared" si="78"/>
        <v>3.7692363037695356</v>
      </c>
      <c r="BB126" s="31"/>
      <c r="BC126" s="31"/>
      <c r="BE126" s="129"/>
      <c r="BF126" s="52">
        <f t="shared" si="79"/>
        <v>877.0299855383214</v>
      </c>
      <c r="BH126" s="121"/>
      <c r="BI126" s="69">
        <f t="shared" si="80"/>
        <v>1040.4243960498354</v>
      </c>
      <c r="BK126" s="125">
        <f t="shared" si="81"/>
        <v>14.875445161103043</v>
      </c>
      <c r="BL126" s="185">
        <f t="shared" si="82"/>
        <v>2.6550595347307424</v>
      </c>
      <c r="BM126" s="52">
        <f t="shared" si="83"/>
        <v>16.028947380245253</v>
      </c>
      <c r="BO126" s="31"/>
      <c r="BP126" s="31"/>
      <c r="BQ126" s="31"/>
    </row>
    <row r="127" spans="2:69" s="149" customFormat="1" ht="11.1" customHeight="1" x14ac:dyDescent="0.15">
      <c r="B127" s="398"/>
      <c r="C127" s="97">
        <v>42675</v>
      </c>
      <c r="D127" s="98">
        <v>555.00955631302475</v>
      </c>
      <c r="E127" s="111">
        <f t="shared" si="87"/>
        <v>542.88921259169376</v>
      </c>
      <c r="F127" s="108">
        <f t="shared" si="88"/>
        <v>2.9341309969311406E-3</v>
      </c>
      <c r="H127" s="64"/>
      <c r="I127" s="69">
        <f t="shared" si="71"/>
        <v>30.381270545902421</v>
      </c>
      <c r="K127" s="42"/>
      <c r="L127" s="52">
        <f t="shared" si="72"/>
        <v>43.437580879390779</v>
      </c>
      <c r="N127" s="64"/>
      <c r="O127" s="69">
        <f t="shared" si="73"/>
        <v>9242496.9912952594</v>
      </c>
      <c r="P127" s="31"/>
      <c r="Q127" s="42"/>
      <c r="R127" s="52">
        <f t="shared" si="74"/>
        <v>10932564.385265021</v>
      </c>
      <c r="Z127" s="116"/>
      <c r="AA127" s="69">
        <f>+AA117</f>
        <v>33.481611571304001</v>
      </c>
      <c r="AC127" s="125"/>
      <c r="AD127" s="52">
        <f>+AD117</f>
        <v>13823390.408481047</v>
      </c>
      <c r="AF127" s="116"/>
      <c r="AG127" s="69">
        <f t="shared" si="75"/>
        <v>22.532447212156878</v>
      </c>
      <c r="AH127" s="31"/>
      <c r="AI127" s="125"/>
      <c r="AJ127" s="52">
        <f t="shared" si="76"/>
        <v>9027812.2876302395</v>
      </c>
      <c r="AL127" s="139">
        <f t="shared" si="68"/>
        <v>66.435730846577798</v>
      </c>
      <c r="AM127" s="248">
        <f t="shared" si="69"/>
        <v>194.99217686903287</v>
      </c>
      <c r="AO127" s="42"/>
      <c r="AP127" s="153">
        <f>AP117</f>
        <v>0</v>
      </c>
      <c r="AQ127" s="52">
        <f t="shared" si="77"/>
        <v>168.99347028005056</v>
      </c>
      <c r="AS127" s="402">
        <f t="shared" si="84"/>
        <v>77.396056992267347</v>
      </c>
      <c r="AT127" s="403"/>
      <c r="AV127" s="116"/>
      <c r="AW127" s="69">
        <f>+AW117</f>
        <v>5.5293537357719194</v>
      </c>
      <c r="AY127" s="125"/>
      <c r="AZ127" s="52">
        <f t="shared" si="78"/>
        <v>3.7692363037695356</v>
      </c>
      <c r="BB127" s="31"/>
      <c r="BC127" s="31"/>
      <c r="BE127" s="129"/>
      <c r="BF127" s="52">
        <f t="shared" si="79"/>
        <v>877.0299855383214</v>
      </c>
      <c r="BH127" s="121"/>
      <c r="BI127" s="69">
        <f t="shared" si="80"/>
        <v>1040.4243960498354</v>
      </c>
      <c r="BK127" s="125">
        <f t="shared" si="81"/>
        <v>14.875445161103043</v>
      </c>
      <c r="BL127" s="185">
        <f t="shared" si="82"/>
        <v>2.6550595347307424</v>
      </c>
      <c r="BM127" s="52">
        <f t="shared" si="83"/>
        <v>16.028947380245253</v>
      </c>
      <c r="BO127" s="31"/>
      <c r="BP127" s="31"/>
      <c r="BQ127" s="31"/>
    </row>
    <row r="128" spans="2:69" s="149" customFormat="1" ht="11.1" customHeight="1" thickBot="1" x14ac:dyDescent="0.2">
      <c r="B128" s="398"/>
      <c r="C128" s="110">
        <v>42705</v>
      </c>
      <c r="D128" s="111">
        <v>543.135253839798</v>
      </c>
      <c r="E128" s="111">
        <f>AVERAGE(D116:D127)</f>
        <v>544.66324360433066</v>
      </c>
      <c r="F128" s="108">
        <f t="shared" si="88"/>
        <v>3.2677588198296789E-3</v>
      </c>
      <c r="H128" s="74"/>
      <c r="I128" s="67">
        <f t="shared" si="71"/>
        <v>30.381270545902421</v>
      </c>
      <c r="K128" s="58"/>
      <c r="L128" s="56">
        <f t="shared" si="72"/>
        <v>43.437580879390779</v>
      </c>
      <c r="N128" s="74"/>
      <c r="O128" s="67">
        <f t="shared" si="73"/>
        <v>9242496.9912952594</v>
      </c>
      <c r="P128" s="31"/>
      <c r="Q128" s="58"/>
      <c r="R128" s="56">
        <f t="shared" si="74"/>
        <v>10932564.385265021</v>
      </c>
      <c r="Z128" s="117"/>
      <c r="AA128" s="72">
        <f>+AA117</f>
        <v>33.481611571304001</v>
      </c>
      <c r="AC128" s="127"/>
      <c r="AD128" s="56">
        <f>+AD117</f>
        <v>13823390.408481047</v>
      </c>
      <c r="AF128" s="117"/>
      <c r="AG128" s="72">
        <f t="shared" si="75"/>
        <v>22.532447212156878</v>
      </c>
      <c r="AH128" s="31"/>
      <c r="AI128" s="127"/>
      <c r="AJ128" s="54">
        <f t="shared" si="76"/>
        <v>9027812.2876302395</v>
      </c>
      <c r="AL128" s="139">
        <f t="shared" si="68"/>
        <v>66.630661983758515</v>
      </c>
      <c r="AM128" s="248">
        <f t="shared" si="69"/>
        <v>195.56430945934338</v>
      </c>
      <c r="AO128" s="58"/>
      <c r="AP128" s="170">
        <f>AP117</f>
        <v>0</v>
      </c>
      <c r="AQ128" s="56">
        <f t="shared" si="77"/>
        <v>168.99347028005056</v>
      </c>
      <c r="AS128" s="426">
        <f t="shared" si="84"/>
        <v>77.396056992267347</v>
      </c>
      <c r="AT128" s="427"/>
      <c r="AV128" s="117"/>
      <c r="AW128" s="72">
        <f>+AW117</f>
        <v>5.5293537357719194</v>
      </c>
      <c r="AY128" s="186"/>
      <c r="AZ128" s="56">
        <f t="shared" si="78"/>
        <v>3.7692363037695356</v>
      </c>
      <c r="BB128" s="31"/>
      <c r="BC128" s="31"/>
      <c r="BE128" s="177"/>
      <c r="BF128" s="56">
        <f t="shared" si="79"/>
        <v>877.0299855383214</v>
      </c>
      <c r="BH128" s="179"/>
      <c r="BI128" s="67">
        <f t="shared" si="80"/>
        <v>1040.4243960498354</v>
      </c>
      <c r="BK128" s="186">
        <f t="shared" si="81"/>
        <v>14.875445161103043</v>
      </c>
      <c r="BL128" s="187">
        <f t="shared" si="82"/>
        <v>2.6550595347307424</v>
      </c>
      <c r="BM128" s="56">
        <f t="shared" si="83"/>
        <v>16.028947380245253</v>
      </c>
      <c r="BO128" s="31"/>
      <c r="BP128" s="31"/>
      <c r="BQ128" s="31"/>
    </row>
    <row r="129" spans="2:69" s="149" customFormat="1" ht="11.1" customHeight="1" x14ac:dyDescent="0.15">
      <c r="B129" s="397">
        <v>2017</v>
      </c>
      <c r="C129" s="94">
        <v>42736</v>
      </c>
      <c r="D129" s="103">
        <v>548.34468471012246</v>
      </c>
      <c r="E129" s="103">
        <f>AVERAGE(D117:D128)</f>
        <v>544.91534918657896</v>
      </c>
      <c r="F129" s="105">
        <f>(E129-E128)/E128</f>
        <v>4.6286505507510699E-4</v>
      </c>
      <c r="H129" s="62"/>
      <c r="I129" s="73">
        <f>(1+(($E$128-$E$14)/$E$14))*$H$20*0.98</f>
        <v>33.144810231956107</v>
      </c>
      <c r="K129" s="40"/>
      <c r="L129" s="57">
        <f>(1+((E128-$E$14)/$E$14))*K$20*0.98</f>
        <v>47.388748044865139</v>
      </c>
      <c r="N129" s="62"/>
      <c r="O129" s="73">
        <f>(1+((E128-$E$14)/$E$14))*N$20*0.98</f>
        <v>10083212.562919734</v>
      </c>
      <c r="P129" s="31"/>
      <c r="Q129" s="40"/>
      <c r="R129" s="57">
        <f>(1+((E128-$E$14)/$E$14))*Q$20*0.98</f>
        <v>11927011.78677739</v>
      </c>
      <c r="Z129" s="119"/>
      <c r="AA129" s="178">
        <f>AG117</f>
        <v>22.532447212156878</v>
      </c>
      <c r="AC129" s="183"/>
      <c r="AD129" s="176">
        <f>7616514.53*0.98*(1+((E116-$E$93)/$E$93))</f>
        <v>9027812.2876302395</v>
      </c>
      <c r="AF129" s="119"/>
      <c r="AG129" s="178">
        <f>10.99*0.98*(1+((E128-$E$93)/$E$93))</f>
        <v>14.21129133154704</v>
      </c>
      <c r="AH129" s="31"/>
      <c r="AI129" s="183"/>
      <c r="AJ129" s="176">
        <f>4273389.92*0.98*(1+((E128-$E$93)/$E$93))</f>
        <v>5525968.0733772963</v>
      </c>
      <c r="AL129" s="148">
        <f>AL128*(1+F128)*0.98</f>
        <v>65.511427018784502</v>
      </c>
      <c r="AM129" s="73">
        <f>AM128*(1+F128)*0.98</f>
        <v>192.27929912729459</v>
      </c>
      <c r="AO129" s="40"/>
      <c r="AP129" s="172">
        <v>0</v>
      </c>
      <c r="AQ129" s="175">
        <f>AP$20*0.98*(1+((E128-$E$14)/$E$14))</f>
        <v>184.36544628405747</v>
      </c>
      <c r="AS129" s="442">
        <f t="shared" si="84"/>
        <v>76.864106936762482</v>
      </c>
      <c r="AT129" s="443"/>
      <c r="AV129" s="119"/>
      <c r="AW129" s="178">
        <f>AZ117</f>
        <v>3.7692363037695356</v>
      </c>
      <c r="AY129" s="183"/>
      <c r="AZ129" s="176">
        <f>1.86*0.98*(1+((E128-$E$93)/$E$93))</f>
        <v>2.405186703974294</v>
      </c>
      <c r="BB129" s="31"/>
      <c r="BC129" s="31"/>
      <c r="BE129" s="128"/>
      <c r="BF129" s="176">
        <f>(BF117)*0.98*(1+((E128-$E$57)/$E$57))</f>
        <v>1171.6270865433205</v>
      </c>
      <c r="BH129" s="120"/>
      <c r="BI129" s="178">
        <f>(BI117)*0.98*(1+((E128-$E$57)/$E$57))</f>
        <v>1389.9061879443566</v>
      </c>
      <c r="BK129" s="183">
        <f>12.55*0.98*(1+((E128-$E$93)/$E$93))</f>
        <v>16.228544696170641</v>
      </c>
      <c r="BL129" s="184">
        <f>2.24*0.98*(1+((E128-$E$93)/$E$93))</f>
        <v>2.896568933818505</v>
      </c>
      <c r="BM129" s="176">
        <f>13.09*0.98*(1+((E128-$E$57)/$E$57))</f>
        <v>17.486971729294357</v>
      </c>
      <c r="BO129" s="31"/>
      <c r="BP129" s="31"/>
      <c r="BQ129" s="31"/>
    </row>
    <row r="130" spans="2:69" s="149" customFormat="1" ht="11.1" customHeight="1" thickBot="1" x14ac:dyDescent="0.2">
      <c r="B130" s="398"/>
      <c r="C130" s="188" t="s">
        <v>40</v>
      </c>
      <c r="D130" s="189">
        <v>545.07959910266902</v>
      </c>
      <c r="E130" s="189">
        <f>AVERAGE(D118:D129)</f>
        <v>543.9079114569023</v>
      </c>
      <c r="F130" s="190">
        <f>(E130-E129)/E129</f>
        <v>-1.8487967556438209E-3</v>
      </c>
      <c r="H130" s="192"/>
      <c r="I130" s="193">
        <f>+I129</f>
        <v>33.144810231956107</v>
      </c>
      <c r="K130" s="192"/>
      <c r="L130" s="193">
        <f>+L129</f>
        <v>47.388748044865139</v>
      </c>
      <c r="N130" s="192"/>
      <c r="O130" s="193">
        <f>+O129</f>
        <v>10083212.562919734</v>
      </c>
      <c r="P130" s="191"/>
      <c r="Q130" s="192"/>
      <c r="R130" s="193">
        <f>+R129</f>
        <v>11927011.78677739</v>
      </c>
      <c r="Z130" s="197"/>
      <c r="AA130" s="193">
        <f>+AA129</f>
        <v>22.532447212156878</v>
      </c>
      <c r="AC130" s="197"/>
      <c r="AD130" s="193">
        <f>+AD129</f>
        <v>9027812.2876302395</v>
      </c>
      <c r="AF130" s="197"/>
      <c r="AG130" s="193">
        <f>+AG129</f>
        <v>14.21129133154704</v>
      </c>
      <c r="AI130" s="197"/>
      <c r="AJ130" s="193">
        <f>+AJ129</f>
        <v>5525968.0733772963</v>
      </c>
      <c r="AL130" s="195">
        <f>AL129*(1+F129)</f>
        <v>65.541749969059595</v>
      </c>
      <c r="AM130" s="249">
        <f>AM129*(1+F129)</f>
        <v>192.36829849567494</v>
      </c>
      <c r="AO130" s="192"/>
      <c r="AP130" s="196">
        <f>AP129</f>
        <v>0</v>
      </c>
      <c r="AQ130" s="193">
        <f>+AQ129</f>
        <v>184.36544628405747</v>
      </c>
      <c r="AS130" s="440">
        <f>+AS129</f>
        <v>76.864106936762482</v>
      </c>
      <c r="AT130" s="441"/>
      <c r="AV130" s="197"/>
      <c r="AW130" s="193">
        <f>+AW129</f>
        <v>3.7692363037695356</v>
      </c>
      <c r="AY130" s="197"/>
      <c r="AZ130" s="193">
        <f>+AZ129</f>
        <v>2.405186703974294</v>
      </c>
      <c r="BB130" s="31"/>
      <c r="BC130" s="31"/>
      <c r="BE130" s="194"/>
      <c r="BF130" s="193">
        <f>+BF129</f>
        <v>1171.6270865433205</v>
      </c>
      <c r="BH130" s="194"/>
      <c r="BI130" s="193">
        <f>+BI129</f>
        <v>1389.9061879443566</v>
      </c>
      <c r="BK130" s="197">
        <f>+BK129</f>
        <v>16.228544696170641</v>
      </c>
      <c r="BL130" s="198">
        <f t="shared" ref="BL130:BM130" si="89">+BL129</f>
        <v>2.896568933818505</v>
      </c>
      <c r="BM130" s="193">
        <f t="shared" si="89"/>
        <v>17.486971729294357</v>
      </c>
    </row>
    <row r="131" spans="2:69" s="149" customFormat="1" ht="11.1" customHeight="1" x14ac:dyDescent="0.15">
      <c r="B131" s="398"/>
      <c r="C131" s="188" t="s">
        <v>39</v>
      </c>
      <c r="D131" s="189">
        <v>545.07959910266902</v>
      </c>
      <c r="E131" s="189">
        <f>AVERAGE(D118:D129)</f>
        <v>543.9079114569023</v>
      </c>
      <c r="F131" s="190">
        <f>(E130-E129)/E129</f>
        <v>-1.8487967556438209E-3</v>
      </c>
      <c r="H131" s="192"/>
      <c r="I131" s="193">
        <f t="shared" ref="I131:I142" si="90">+I130</f>
        <v>33.144810231956107</v>
      </c>
      <c r="K131" s="192"/>
      <c r="L131" s="193">
        <f t="shared" ref="L131:L132" si="91">+L130</f>
        <v>47.388748044865139</v>
      </c>
      <c r="N131" s="192"/>
      <c r="O131" s="193">
        <f>+O130</f>
        <v>10083212.562919734</v>
      </c>
      <c r="P131" s="191"/>
      <c r="Q131" s="192"/>
      <c r="R131" s="193">
        <f>+R130</f>
        <v>11927011.78677739</v>
      </c>
      <c r="Z131" s="199">
        <v>24.58</v>
      </c>
      <c r="AA131" s="201">
        <v>24.58</v>
      </c>
      <c r="AC131" s="199">
        <v>9848999.7200000007</v>
      </c>
      <c r="AD131" s="201">
        <v>9848999.7200000007</v>
      </c>
      <c r="AF131" s="199">
        <v>11.43</v>
      </c>
      <c r="AG131" s="201">
        <v>11.43</v>
      </c>
      <c r="AI131" s="199">
        <v>4444584.91</v>
      </c>
      <c r="AJ131" s="201">
        <v>4444584.91</v>
      </c>
      <c r="AL131" s="195">
        <f>AL129*(1+F129)</f>
        <v>65.541749969059595</v>
      </c>
      <c r="AM131" s="249">
        <f>AM129*(1+F129)</f>
        <v>192.36829849567494</v>
      </c>
      <c r="AO131" s="192"/>
      <c r="AP131" s="196">
        <f>AP130</f>
        <v>0</v>
      </c>
      <c r="AQ131" s="193">
        <f>+AQ130</f>
        <v>184.36544628405747</v>
      </c>
      <c r="AS131" s="446">
        <f>+(AG131+((BF131/1.16)/66.17)+L131)</f>
        <v>74.082815605215444</v>
      </c>
      <c r="AT131" s="447"/>
      <c r="AV131" s="255">
        <v>4.1100000000000003</v>
      </c>
      <c r="AW131" s="256">
        <f>+AV131</f>
        <v>4.1100000000000003</v>
      </c>
      <c r="AY131" s="199">
        <v>1</v>
      </c>
      <c r="AZ131" s="201">
        <f>AY131</f>
        <v>1</v>
      </c>
      <c r="BB131" s="202">
        <v>2</v>
      </c>
      <c r="BC131" s="204">
        <f>BB131</f>
        <v>2</v>
      </c>
      <c r="BE131" s="194"/>
      <c r="BF131" s="193">
        <f t="shared" ref="BF131:BF136" si="92">+BF130</f>
        <v>1171.6270865433205</v>
      </c>
      <c r="BH131" s="194"/>
      <c r="BI131" s="193">
        <f>+BI130</f>
        <v>1389.9061879443566</v>
      </c>
      <c r="BK131" s="199">
        <v>11.43</v>
      </c>
      <c r="BL131" s="200">
        <v>1</v>
      </c>
      <c r="BM131" s="201">
        <v>6.4</v>
      </c>
      <c r="BO131" s="202">
        <v>28.67</v>
      </c>
      <c r="BP131" s="203">
        <v>1</v>
      </c>
      <c r="BQ131" s="204">
        <v>11.87</v>
      </c>
    </row>
    <row r="132" spans="2:69" s="149" customFormat="1" ht="11.1" customHeight="1" x14ac:dyDescent="0.15">
      <c r="B132" s="398"/>
      <c r="C132" s="97">
        <v>42795</v>
      </c>
      <c r="D132" s="98">
        <v>544.46194320316135</v>
      </c>
      <c r="E132" s="98">
        <f>AVERAGE(D119:D130)</f>
        <v>542.40112168198277</v>
      </c>
      <c r="F132" s="99">
        <f t="shared" ref="F132:F137" si="93">(E132-E131)/E131</f>
        <v>-2.7703031031180709E-3</v>
      </c>
      <c r="H132" s="64"/>
      <c r="I132" s="69">
        <f t="shared" si="90"/>
        <v>33.144810231956107</v>
      </c>
      <c r="K132" s="42"/>
      <c r="L132" s="52">
        <f t="shared" si="91"/>
        <v>47.388748044865139</v>
      </c>
      <c r="N132" s="64"/>
      <c r="O132" s="69">
        <f t="shared" ref="O132:O142" si="94">+O131</f>
        <v>10083212.562919734</v>
      </c>
      <c r="P132" s="31"/>
      <c r="Q132" s="42"/>
      <c r="R132" s="52">
        <f t="shared" ref="R132:R142" si="95">+R131</f>
        <v>11927011.78677739</v>
      </c>
      <c r="Z132" s="116"/>
      <c r="AA132" s="69">
        <v>24.58</v>
      </c>
      <c r="AC132" s="125"/>
      <c r="AD132" s="52">
        <v>9848999.7200000007</v>
      </c>
      <c r="AF132" s="116"/>
      <c r="AG132" s="69">
        <v>11.43</v>
      </c>
      <c r="AH132" s="31"/>
      <c r="AI132" s="125"/>
      <c r="AJ132" s="52">
        <v>4444584.91</v>
      </c>
      <c r="AL132" s="139">
        <f t="shared" ref="AL132:AL137" si="96">AL131*(1+F131)</f>
        <v>65.42057659435757</v>
      </c>
      <c r="AM132" s="248">
        <f t="shared" ref="AM132:AM137" si="97">AM131*(1+F131)</f>
        <v>192.01264860952739</v>
      </c>
      <c r="AO132" s="42"/>
      <c r="AP132" s="153">
        <f>AP129</f>
        <v>0</v>
      </c>
      <c r="AQ132" s="52">
        <f>+AQ130</f>
        <v>184.36544628405747</v>
      </c>
      <c r="AS132" s="431">
        <f t="shared" ref="AS132:AS142" si="98">+AS131</f>
        <v>74.082815605215444</v>
      </c>
      <c r="AT132" s="432"/>
      <c r="AV132" s="116"/>
      <c r="AW132" s="69">
        <f>+AW131</f>
        <v>4.1100000000000003</v>
      </c>
      <c r="AY132" s="125"/>
      <c r="AZ132" s="52">
        <f>+AZ131</f>
        <v>1</v>
      </c>
      <c r="BB132" s="116"/>
      <c r="BC132" s="69">
        <f>+BC131</f>
        <v>2</v>
      </c>
      <c r="BE132" s="129"/>
      <c r="BF132" s="52">
        <f t="shared" si="92"/>
        <v>1171.6270865433205</v>
      </c>
      <c r="BH132" s="121"/>
      <c r="BI132" s="69">
        <f t="shared" ref="BI132:BI137" si="99">+BI131</f>
        <v>1389.9061879443566</v>
      </c>
      <c r="BK132" s="125">
        <f>+BK131</f>
        <v>11.43</v>
      </c>
      <c r="BL132" s="185">
        <f t="shared" ref="BL132:BM142" si="100">+BL131</f>
        <v>1</v>
      </c>
      <c r="BM132" s="52">
        <f t="shared" si="100"/>
        <v>6.4</v>
      </c>
      <c r="BO132" s="116">
        <f>+BO131</f>
        <v>28.67</v>
      </c>
      <c r="BP132" s="181">
        <f>+BP131</f>
        <v>1</v>
      </c>
      <c r="BQ132" s="69">
        <f>+BQ131</f>
        <v>11.87</v>
      </c>
    </row>
    <row r="133" spans="2:69" s="149" customFormat="1" ht="11.1" customHeight="1" x14ac:dyDescent="0.15">
      <c r="B133" s="398"/>
      <c r="C133" s="97">
        <v>42826</v>
      </c>
      <c r="D133" s="98">
        <v>548.30999999999995</v>
      </c>
      <c r="E133" s="98">
        <f>AVERAGE(D132,D120:D130)</f>
        <v>542.47737508274065</v>
      </c>
      <c r="F133" s="99">
        <f t="shared" si="93"/>
        <v>1.4058488765918576E-4</v>
      </c>
      <c r="H133" s="64"/>
      <c r="I133" s="69">
        <f t="shared" si="90"/>
        <v>33.144810231956107</v>
      </c>
      <c r="K133" s="42"/>
      <c r="L133" s="52">
        <f t="shared" ref="L133:L142" si="101">+L132</f>
        <v>47.388748044865139</v>
      </c>
      <c r="N133" s="64"/>
      <c r="O133" s="69">
        <f t="shared" si="94"/>
        <v>10083212.562919734</v>
      </c>
      <c r="P133" s="31"/>
      <c r="Q133" s="42"/>
      <c r="R133" s="52">
        <f t="shared" si="95"/>
        <v>11927011.78677739</v>
      </c>
      <c r="Z133" s="116"/>
      <c r="AA133" s="69">
        <v>24.58</v>
      </c>
      <c r="AC133" s="125"/>
      <c r="AD133" s="52">
        <v>9848999.7200000007</v>
      </c>
      <c r="AF133" s="116"/>
      <c r="AG133" s="69">
        <v>11.43</v>
      </c>
      <c r="AH133" s="31"/>
      <c r="AI133" s="125"/>
      <c r="AJ133" s="52">
        <v>4444584.91</v>
      </c>
      <c r="AL133" s="139">
        <f t="shared" si="96"/>
        <v>65.239341768010448</v>
      </c>
      <c r="AM133" s="248">
        <f t="shared" si="97"/>
        <v>191.48071537324648</v>
      </c>
      <c r="AO133" s="42"/>
      <c r="AP133" s="153">
        <f>AP129</f>
        <v>0</v>
      </c>
      <c r="AQ133" s="52">
        <f t="shared" ref="AQ133:AQ142" si="102">+AQ132</f>
        <v>184.36544628405747</v>
      </c>
      <c r="AS133" s="431">
        <f t="shared" si="98"/>
        <v>74.082815605215444</v>
      </c>
      <c r="AT133" s="432"/>
      <c r="AV133" s="116"/>
      <c r="AW133" s="69">
        <f>+AW131</f>
        <v>4.1100000000000003</v>
      </c>
      <c r="AY133" s="125"/>
      <c r="AZ133" s="52">
        <f>+AZ131</f>
        <v>1</v>
      </c>
      <c r="BB133" s="116"/>
      <c r="BC133" s="69">
        <f>+BC131</f>
        <v>2</v>
      </c>
      <c r="BE133" s="129"/>
      <c r="BF133" s="52">
        <f t="shared" si="92"/>
        <v>1171.6270865433205</v>
      </c>
      <c r="BH133" s="121"/>
      <c r="BI133" s="69">
        <f t="shared" si="99"/>
        <v>1389.9061879443566</v>
      </c>
      <c r="BK133" s="125">
        <f t="shared" ref="BK133:BK142" si="103">+BK132</f>
        <v>11.43</v>
      </c>
      <c r="BL133" s="185">
        <f t="shared" si="100"/>
        <v>1</v>
      </c>
      <c r="BM133" s="52">
        <f t="shared" si="100"/>
        <v>6.4</v>
      </c>
      <c r="BO133" s="116">
        <f t="shared" ref="BO133:BO142" si="104">+BO132</f>
        <v>28.67</v>
      </c>
      <c r="BP133" s="181">
        <f t="shared" ref="BP133:BP142" si="105">+BP132</f>
        <v>1</v>
      </c>
      <c r="BQ133" s="69">
        <f t="shared" ref="BQ133:BQ142" si="106">+BQ132</f>
        <v>11.87</v>
      </c>
    </row>
    <row r="134" spans="2:69" s="149" customFormat="1" ht="11.1" customHeight="1" x14ac:dyDescent="0.15">
      <c r="B134" s="398"/>
      <c r="C134" s="97">
        <v>42856</v>
      </c>
      <c r="D134" s="98">
        <v>546.42999999999995</v>
      </c>
      <c r="E134" s="98">
        <f>AVERAGE(D132:D133,D121:D130)</f>
        <v>543.9175707956208</v>
      </c>
      <c r="F134" s="99">
        <f t="shared" si="93"/>
        <v>2.654849361524967E-3</v>
      </c>
      <c r="H134" s="64"/>
      <c r="I134" s="69">
        <f t="shared" si="90"/>
        <v>33.144810231956107</v>
      </c>
      <c r="K134" s="42"/>
      <c r="L134" s="52">
        <f t="shared" si="101"/>
        <v>47.388748044865139</v>
      </c>
      <c r="N134" s="64"/>
      <c r="O134" s="69">
        <f t="shared" si="94"/>
        <v>10083212.562919734</v>
      </c>
      <c r="P134" s="31"/>
      <c r="Q134" s="42"/>
      <c r="R134" s="52">
        <f t="shared" si="95"/>
        <v>11927011.78677739</v>
      </c>
      <c r="Z134" s="115"/>
      <c r="AA134" s="69">
        <v>24.58</v>
      </c>
      <c r="AC134" s="124"/>
      <c r="AD134" s="54">
        <v>9848999.7200000007</v>
      </c>
      <c r="AF134" s="115"/>
      <c r="AG134" s="69">
        <v>11.43</v>
      </c>
      <c r="AH134" s="31"/>
      <c r="AI134" s="124"/>
      <c r="AJ134" s="52">
        <v>4444584.91</v>
      </c>
      <c r="AL134" s="139">
        <f t="shared" si="96"/>
        <v>65.248513433543863</v>
      </c>
      <c r="AM134" s="248">
        <f t="shared" si="97"/>
        <v>191.50763466810614</v>
      </c>
      <c r="AO134" s="42"/>
      <c r="AP134" s="153">
        <f>AP129</f>
        <v>0</v>
      </c>
      <c r="AQ134" s="52">
        <f t="shared" si="102"/>
        <v>184.36544628405747</v>
      </c>
      <c r="AS134" s="431">
        <f t="shared" si="98"/>
        <v>74.082815605215444</v>
      </c>
      <c r="AT134" s="432"/>
      <c r="AV134" s="115"/>
      <c r="AW134" s="72">
        <f>+AW131</f>
        <v>4.1100000000000003</v>
      </c>
      <c r="AY134" s="125"/>
      <c r="AZ134" s="52">
        <f>+AZ131</f>
        <v>1</v>
      </c>
      <c r="BB134" s="116"/>
      <c r="BC134" s="69">
        <f>+BC131</f>
        <v>2</v>
      </c>
      <c r="BE134" s="129"/>
      <c r="BF134" s="52">
        <f t="shared" si="92"/>
        <v>1171.6270865433205</v>
      </c>
      <c r="BH134" s="121"/>
      <c r="BI134" s="69">
        <f t="shared" si="99"/>
        <v>1389.9061879443566</v>
      </c>
      <c r="BK134" s="125">
        <f t="shared" si="103"/>
        <v>11.43</v>
      </c>
      <c r="BL134" s="185">
        <f t="shared" si="100"/>
        <v>1</v>
      </c>
      <c r="BM134" s="52">
        <f t="shared" si="100"/>
        <v>6.4</v>
      </c>
      <c r="BO134" s="116">
        <f t="shared" si="104"/>
        <v>28.67</v>
      </c>
      <c r="BP134" s="181">
        <f t="shared" si="105"/>
        <v>1</v>
      </c>
      <c r="BQ134" s="69">
        <f t="shared" si="106"/>
        <v>11.87</v>
      </c>
    </row>
    <row r="135" spans="2:69" s="149" customFormat="1" ht="11.1" customHeight="1" x14ac:dyDescent="0.15">
      <c r="B135" s="398"/>
      <c r="C135" s="97">
        <v>42887</v>
      </c>
      <c r="D135" s="98">
        <v>554.55999999999995</v>
      </c>
      <c r="E135" s="98">
        <f>AVERAGE(D132:D134,D122:D130)</f>
        <v>543.85522449997381</v>
      </c>
      <c r="F135" s="99">
        <f t="shared" si="93"/>
        <v>-1.1462452951426388E-4</v>
      </c>
      <c r="H135" s="64"/>
      <c r="I135" s="69">
        <f t="shared" si="90"/>
        <v>33.144810231956107</v>
      </c>
      <c r="K135" s="42"/>
      <c r="L135" s="52">
        <f t="shared" si="101"/>
        <v>47.388748044865139</v>
      </c>
      <c r="N135" s="64"/>
      <c r="O135" s="69">
        <f t="shared" si="94"/>
        <v>10083212.562919734</v>
      </c>
      <c r="P135" s="31"/>
      <c r="Q135" s="42"/>
      <c r="R135" s="52">
        <f t="shared" si="95"/>
        <v>11927011.78677739</v>
      </c>
      <c r="Z135" s="116"/>
      <c r="AA135" s="69">
        <v>24.58</v>
      </c>
      <c r="AC135" s="125"/>
      <c r="AD135" s="52">
        <v>9848999.7200000007</v>
      </c>
      <c r="AF135" s="116"/>
      <c r="AG135" s="69">
        <v>11.43</v>
      </c>
      <c r="AH135" s="31"/>
      <c r="AI135" s="125"/>
      <c r="AJ135" s="52">
        <v>4444584.91</v>
      </c>
      <c r="AL135" s="139">
        <f t="shared" si="96"/>
        <v>65.421738407773361</v>
      </c>
      <c r="AM135" s="248">
        <f t="shared" si="97"/>
        <v>192.01605858973193</v>
      </c>
      <c r="AO135" s="42"/>
      <c r="AP135" s="153">
        <f>AP129</f>
        <v>0</v>
      </c>
      <c r="AQ135" s="52">
        <f t="shared" si="102"/>
        <v>184.36544628405747</v>
      </c>
      <c r="AS135" s="431">
        <f t="shared" si="98"/>
        <v>74.082815605215444</v>
      </c>
      <c r="AT135" s="432"/>
      <c r="AV135" s="116"/>
      <c r="AW135" s="69">
        <f>+AW131</f>
        <v>4.1100000000000003</v>
      </c>
      <c r="AY135" s="125"/>
      <c r="AZ135" s="52">
        <f>+AZ131</f>
        <v>1</v>
      </c>
      <c r="BB135" s="116"/>
      <c r="BC135" s="69">
        <f>+BC131</f>
        <v>2</v>
      </c>
      <c r="BE135" s="129"/>
      <c r="BF135" s="52">
        <f t="shared" si="92"/>
        <v>1171.6270865433205</v>
      </c>
      <c r="BH135" s="121"/>
      <c r="BI135" s="69">
        <f t="shared" si="99"/>
        <v>1389.9061879443566</v>
      </c>
      <c r="BK135" s="125">
        <f t="shared" si="103"/>
        <v>11.43</v>
      </c>
      <c r="BL135" s="185">
        <f t="shared" si="100"/>
        <v>1</v>
      </c>
      <c r="BM135" s="52">
        <f t="shared" si="100"/>
        <v>6.4</v>
      </c>
      <c r="BO135" s="116">
        <f t="shared" si="104"/>
        <v>28.67</v>
      </c>
      <c r="BP135" s="181">
        <f t="shared" si="105"/>
        <v>1</v>
      </c>
      <c r="BQ135" s="69">
        <f t="shared" si="106"/>
        <v>11.87</v>
      </c>
    </row>
    <row r="136" spans="2:69" s="149" customFormat="1" ht="11.1" customHeight="1" x14ac:dyDescent="0.15">
      <c r="B136" s="398"/>
      <c r="C136" s="97">
        <v>42917</v>
      </c>
      <c r="D136" s="98">
        <v>553.12820560741102</v>
      </c>
      <c r="E136" s="98">
        <f>AVERAGE(D132:D135,D123:D130)</f>
        <v>545.26082445497764</v>
      </c>
      <c r="F136" s="99">
        <f t="shared" si="93"/>
        <v>2.5845112663873838E-3</v>
      </c>
      <c r="H136" s="64"/>
      <c r="I136" s="69">
        <f t="shared" si="90"/>
        <v>33.144810231956107</v>
      </c>
      <c r="K136" s="42"/>
      <c r="L136" s="52">
        <f t="shared" si="101"/>
        <v>47.388748044865139</v>
      </c>
      <c r="N136" s="64"/>
      <c r="O136" s="69">
        <f t="shared" si="94"/>
        <v>10083212.562919734</v>
      </c>
      <c r="P136" s="31"/>
      <c r="Q136" s="42"/>
      <c r="R136" s="52">
        <f t="shared" si="95"/>
        <v>11927011.78677739</v>
      </c>
      <c r="Z136" s="116"/>
      <c r="AA136" s="69">
        <v>24.58</v>
      </c>
      <c r="AC136" s="125"/>
      <c r="AD136" s="52">
        <v>9848999.7200000007</v>
      </c>
      <c r="AF136" s="116"/>
      <c r="AG136" s="69">
        <v>11.43</v>
      </c>
      <c r="AH136" s="31"/>
      <c r="AI136" s="125"/>
      <c r="AJ136" s="52">
        <v>4444584.91</v>
      </c>
      <c r="AL136" s="139">
        <f t="shared" si="96"/>
        <v>65.414239471788363</v>
      </c>
      <c r="AM136" s="248">
        <f t="shared" si="97"/>
        <v>191.99404883935691</v>
      </c>
      <c r="AO136" s="42"/>
      <c r="AP136" s="153">
        <f>AP129</f>
        <v>0</v>
      </c>
      <c r="AQ136" s="52">
        <f t="shared" si="102"/>
        <v>184.36544628405747</v>
      </c>
      <c r="AS136" s="431">
        <f t="shared" si="98"/>
        <v>74.082815605215444</v>
      </c>
      <c r="AT136" s="432"/>
      <c r="AV136" s="116"/>
      <c r="AW136" s="69">
        <f>+AW131</f>
        <v>4.1100000000000003</v>
      </c>
      <c r="AY136" s="125"/>
      <c r="AZ136" s="52">
        <f>+AZ131</f>
        <v>1</v>
      </c>
      <c r="BB136" s="116"/>
      <c r="BC136" s="69">
        <f>+BC131</f>
        <v>2</v>
      </c>
      <c r="BE136" s="129"/>
      <c r="BF136" s="52">
        <f t="shared" si="92"/>
        <v>1171.6270865433205</v>
      </c>
      <c r="BH136" s="121"/>
      <c r="BI136" s="69">
        <f t="shared" si="99"/>
        <v>1389.9061879443566</v>
      </c>
      <c r="BK136" s="125">
        <f t="shared" si="103"/>
        <v>11.43</v>
      </c>
      <c r="BL136" s="185">
        <f t="shared" si="100"/>
        <v>1</v>
      </c>
      <c r="BM136" s="52">
        <f t="shared" si="100"/>
        <v>6.4</v>
      </c>
      <c r="BO136" s="116">
        <f t="shared" si="104"/>
        <v>28.67</v>
      </c>
      <c r="BP136" s="181">
        <f t="shared" si="105"/>
        <v>1</v>
      </c>
      <c r="BQ136" s="69">
        <f t="shared" si="106"/>
        <v>11.87</v>
      </c>
    </row>
    <row r="137" spans="2:69" s="149" customFormat="1" ht="11.1" customHeight="1" x14ac:dyDescent="0.15">
      <c r="B137" s="398"/>
      <c r="C137" s="205" t="s">
        <v>46</v>
      </c>
      <c r="D137" s="189">
        <v>549.33115224334711</v>
      </c>
      <c r="E137" s="189">
        <f>AVERAGE(D132:D136,D124:D130)</f>
        <v>545.61723778991825</v>
      </c>
      <c r="F137" s="190">
        <f t="shared" si="93"/>
        <v>6.5365659690822182E-4</v>
      </c>
      <c r="H137" s="192"/>
      <c r="I137" s="193">
        <f>+I136</f>
        <v>33.144810231956107</v>
      </c>
      <c r="K137" s="192"/>
      <c r="L137" s="193">
        <f>+L136</f>
        <v>47.388748044865139</v>
      </c>
      <c r="N137" s="192"/>
      <c r="O137" s="193">
        <f>+O136</f>
        <v>10083212.562919734</v>
      </c>
      <c r="P137" s="191"/>
      <c r="Q137" s="192"/>
      <c r="R137" s="193">
        <f>+R136</f>
        <v>11927011.78677739</v>
      </c>
      <c r="Z137" s="197"/>
      <c r="AA137" s="193">
        <v>24.58</v>
      </c>
      <c r="AC137" s="197"/>
      <c r="AD137" s="193">
        <v>9848999.7200000007</v>
      </c>
      <c r="AF137" s="197"/>
      <c r="AG137" s="193">
        <v>11.43</v>
      </c>
      <c r="AI137" s="197"/>
      <c r="AJ137" s="193">
        <v>4444584.91</v>
      </c>
      <c r="AL137" s="195">
        <f t="shared" si="96"/>
        <v>65.583303310685366</v>
      </c>
      <c r="AM137" s="249">
        <f t="shared" si="97"/>
        <v>192.49025962166155</v>
      </c>
      <c r="AO137" s="192"/>
      <c r="AP137" s="196">
        <f>AP129</f>
        <v>0</v>
      </c>
      <c r="AQ137" s="193">
        <f>+AQ136</f>
        <v>184.36544628405747</v>
      </c>
      <c r="AS137" s="440">
        <f>+AS136</f>
        <v>74.082815605215444</v>
      </c>
      <c r="AT137" s="441"/>
      <c r="AV137" s="197"/>
      <c r="AW137" s="193">
        <f>+AW131</f>
        <v>4.1100000000000003</v>
      </c>
      <c r="AY137" s="197"/>
      <c r="AZ137" s="193">
        <f>+AZ131</f>
        <v>1</v>
      </c>
      <c r="BB137" s="197"/>
      <c r="BC137" s="193">
        <f>+BC131</f>
        <v>2</v>
      </c>
      <c r="BE137" s="194"/>
      <c r="BF137" s="193">
        <f>+BF136</f>
        <v>1171.6270865433205</v>
      </c>
      <c r="BH137" s="194"/>
      <c r="BI137" s="193">
        <f t="shared" si="99"/>
        <v>1389.9061879443566</v>
      </c>
      <c r="BK137" s="197">
        <f t="shared" si="103"/>
        <v>11.43</v>
      </c>
      <c r="BL137" s="198">
        <f t="shared" si="100"/>
        <v>1</v>
      </c>
      <c r="BM137" s="193">
        <f t="shared" si="100"/>
        <v>6.4</v>
      </c>
      <c r="BO137" s="197">
        <f t="shared" si="104"/>
        <v>28.67</v>
      </c>
      <c r="BP137" s="198">
        <f t="shared" si="105"/>
        <v>1</v>
      </c>
      <c r="BQ137" s="193">
        <f t="shared" si="106"/>
        <v>11.87</v>
      </c>
    </row>
    <row r="138" spans="2:69" s="149" customFormat="1" ht="11.1" customHeight="1" x14ac:dyDescent="0.15">
      <c r="B138" s="398"/>
      <c r="C138" s="205" t="s">
        <v>47</v>
      </c>
      <c r="D138" s="189">
        <v>549.33115224334711</v>
      </c>
      <c r="E138" s="189">
        <f>AVERAGE(D132:D136,D124:D130)</f>
        <v>545.61723778991825</v>
      </c>
      <c r="F138" s="190">
        <f>(E137-E136)/E136</f>
        <v>6.5365659690822182E-4</v>
      </c>
      <c r="H138" s="192"/>
      <c r="I138" s="193">
        <f>+I136</f>
        <v>33.144810231956107</v>
      </c>
      <c r="K138" s="192"/>
      <c r="L138" s="193">
        <f>+L136</f>
        <v>47.388748044865139</v>
      </c>
      <c r="N138" s="192"/>
      <c r="O138" s="193">
        <f>+O136</f>
        <v>10083212.562919734</v>
      </c>
      <c r="P138" s="191"/>
      <c r="Q138" s="192"/>
      <c r="R138" s="193">
        <f>+R136</f>
        <v>11927011.78677739</v>
      </c>
      <c r="Z138" s="197"/>
      <c r="AA138" s="193">
        <v>24.58</v>
      </c>
      <c r="AC138" s="197"/>
      <c r="AD138" s="193">
        <v>9848999.7200000007</v>
      </c>
      <c r="AF138" s="197"/>
      <c r="AG138" s="193">
        <v>11.43</v>
      </c>
      <c r="AI138" s="197"/>
      <c r="AJ138" s="193">
        <v>4444584.91</v>
      </c>
      <c r="AL138" s="195">
        <f>AL136*(1+F136)</f>
        <v>65.583303310685366</v>
      </c>
      <c r="AM138" s="249">
        <f>AM136*(1+F136)</f>
        <v>192.49025962166155</v>
      </c>
      <c r="AO138" s="192"/>
      <c r="AP138" s="196">
        <f>AP129</f>
        <v>0</v>
      </c>
      <c r="AQ138" s="193">
        <f>+AQ136</f>
        <v>184.36544628405747</v>
      </c>
      <c r="AS138" s="440">
        <f>+AS136</f>
        <v>74.082815605215444</v>
      </c>
      <c r="AT138" s="441"/>
      <c r="AV138" s="197"/>
      <c r="AW138" s="193">
        <f>+AW131</f>
        <v>4.1100000000000003</v>
      </c>
      <c r="AY138" s="197"/>
      <c r="AZ138" s="193">
        <f>+AZ131</f>
        <v>1</v>
      </c>
      <c r="BB138" s="197"/>
      <c r="BC138" s="193">
        <f>+BC131</f>
        <v>2</v>
      </c>
      <c r="BE138" s="233">
        <f>BF137/1.16</f>
        <v>1010.0233504683798</v>
      </c>
      <c r="BF138" s="258">
        <f>BE138</f>
        <v>1010.0233504683798</v>
      </c>
      <c r="BH138" s="233">
        <f>BI137/1.16</f>
        <v>1198.194989607204</v>
      </c>
      <c r="BI138" s="258">
        <f>BH138</f>
        <v>1198.194989607204</v>
      </c>
      <c r="BK138" s="197">
        <f t="shared" si="103"/>
        <v>11.43</v>
      </c>
      <c r="BL138" s="198">
        <f t="shared" si="100"/>
        <v>1</v>
      </c>
      <c r="BM138" s="193">
        <f t="shared" si="100"/>
        <v>6.4</v>
      </c>
      <c r="BO138" s="197">
        <f t="shared" si="104"/>
        <v>28.67</v>
      </c>
      <c r="BP138" s="198">
        <f t="shared" si="105"/>
        <v>1</v>
      </c>
      <c r="BQ138" s="193">
        <f t="shared" si="106"/>
        <v>11.87</v>
      </c>
    </row>
    <row r="139" spans="2:69" ht="11.1" customHeight="1" x14ac:dyDescent="0.15">
      <c r="B139" s="398"/>
      <c r="C139" s="97">
        <v>42979</v>
      </c>
      <c r="D139" s="98">
        <v>549.11</v>
      </c>
      <c r="E139" s="98">
        <f>AVERAGE(D132:D137,D125:D130)</f>
        <v>546.66467474460035</v>
      </c>
      <c r="F139" s="99">
        <f t="shared" ref="F139:F142" si="107">(E139-E138)/E138</f>
        <v>1.9197284875471586E-3</v>
      </c>
      <c r="H139" s="64"/>
      <c r="I139" s="69">
        <f>+I137</f>
        <v>33.144810231956107</v>
      </c>
      <c r="K139" s="42"/>
      <c r="L139" s="52">
        <f>+L137</f>
        <v>47.388748044865139</v>
      </c>
      <c r="N139" s="64"/>
      <c r="O139" s="69">
        <f>+O137</f>
        <v>10083212.562919734</v>
      </c>
      <c r="Q139" s="42"/>
      <c r="R139" s="52">
        <f>+R137</f>
        <v>11927011.78677739</v>
      </c>
      <c r="T139" s="149"/>
      <c r="U139" s="149"/>
      <c r="W139" s="149"/>
      <c r="X139" s="149"/>
      <c r="Z139" s="116"/>
      <c r="AA139" s="69">
        <v>24.58</v>
      </c>
      <c r="AC139" s="125"/>
      <c r="AD139" s="52">
        <v>9848999.7200000007</v>
      </c>
      <c r="AF139" s="116"/>
      <c r="AG139" s="69">
        <v>11.43</v>
      </c>
      <c r="AI139" s="125"/>
      <c r="AJ139" s="52">
        <v>4444584.91</v>
      </c>
      <c r="AL139" s="139">
        <f>AL138*(1+F138)</f>
        <v>65.626172269541428</v>
      </c>
      <c r="AM139" s="248">
        <f>AM138*(1+F138)</f>
        <v>192.61608214970383</v>
      </c>
      <c r="AO139" s="42"/>
      <c r="AP139" s="153">
        <f>AP129</f>
        <v>0</v>
      </c>
      <c r="AQ139" s="52">
        <f>+AQ137</f>
        <v>184.36544628405747</v>
      </c>
      <c r="AS139" s="431">
        <f>+AS137</f>
        <v>74.082815605215444</v>
      </c>
      <c r="AT139" s="432"/>
      <c r="AV139" s="116"/>
      <c r="AW139" s="69">
        <f>+AW131</f>
        <v>4.1100000000000003</v>
      </c>
      <c r="AY139" s="125"/>
      <c r="AZ139" s="52">
        <f>+AZ131</f>
        <v>1</v>
      </c>
      <c r="BB139" s="116"/>
      <c r="BC139" s="69">
        <f>+BC131</f>
        <v>2</v>
      </c>
      <c r="BE139" s="129"/>
      <c r="BF139" s="52">
        <f>+BF138</f>
        <v>1010.0233504683798</v>
      </c>
      <c r="BH139" s="121"/>
      <c r="BI139" s="69">
        <f>+BI138</f>
        <v>1198.194989607204</v>
      </c>
      <c r="BK139" s="125">
        <f>+BK137</f>
        <v>11.43</v>
      </c>
      <c r="BL139" s="185">
        <f>+BL137</f>
        <v>1</v>
      </c>
      <c r="BM139" s="52">
        <f>+BM137</f>
        <v>6.4</v>
      </c>
      <c r="BO139" s="116">
        <f>+BO137</f>
        <v>28.67</v>
      </c>
      <c r="BP139" s="181">
        <f>+BP137</f>
        <v>1</v>
      </c>
      <c r="BQ139" s="69">
        <f>+BQ137</f>
        <v>11.87</v>
      </c>
    </row>
    <row r="140" spans="2:69" ht="11.1" customHeight="1" x14ac:dyDescent="0.15">
      <c r="B140" s="398"/>
      <c r="C140" s="97">
        <v>43009</v>
      </c>
      <c r="D140" s="98">
        <v>554.90476343002888</v>
      </c>
      <c r="E140" s="98">
        <f>AVERAGE(D132:D137,D126:D130,D139)</f>
        <v>548.05519433620543</v>
      </c>
      <c r="F140" s="99">
        <f t="shared" si="107"/>
        <v>2.5436426677006882E-3</v>
      </c>
      <c r="H140" s="64"/>
      <c r="I140" s="69">
        <f t="shared" si="90"/>
        <v>33.144810231956107</v>
      </c>
      <c r="K140" s="42"/>
      <c r="L140" s="52">
        <f t="shared" si="101"/>
        <v>47.388748044865139</v>
      </c>
      <c r="N140" s="64"/>
      <c r="O140" s="69">
        <f t="shared" si="94"/>
        <v>10083212.562919734</v>
      </c>
      <c r="Q140" s="42"/>
      <c r="R140" s="52">
        <f t="shared" si="95"/>
        <v>11927011.78677739</v>
      </c>
      <c r="T140" s="149"/>
      <c r="U140" s="149"/>
      <c r="W140" s="149"/>
      <c r="X140" s="149"/>
      <c r="Z140" s="116"/>
      <c r="AA140" s="69">
        <v>24.58</v>
      </c>
      <c r="AC140" s="125"/>
      <c r="AD140" s="52">
        <v>9848999.7200000007</v>
      </c>
      <c r="AF140" s="116"/>
      <c r="AG140" s="69">
        <v>11.43</v>
      </c>
      <c r="AI140" s="125"/>
      <c r="AJ140" s="52">
        <v>4444584.91</v>
      </c>
      <c r="AL140" s="139">
        <f>AL139*(1+F139)</f>
        <v>65.752156701975949</v>
      </c>
      <c r="AM140" s="248">
        <f>AM139*(1+F139)</f>
        <v>192.98585272976635</v>
      </c>
      <c r="AO140" s="42"/>
      <c r="AP140" s="153">
        <f>AP129</f>
        <v>0</v>
      </c>
      <c r="AQ140" s="52">
        <f t="shared" si="102"/>
        <v>184.36544628405747</v>
      </c>
      <c r="AS140" s="431">
        <f t="shared" si="98"/>
        <v>74.082815605215444</v>
      </c>
      <c r="AT140" s="432"/>
      <c r="AV140" s="116"/>
      <c r="AW140" s="69">
        <f>+AW131</f>
        <v>4.1100000000000003</v>
      </c>
      <c r="AY140" s="125"/>
      <c r="AZ140" s="52">
        <f>+AZ131</f>
        <v>1</v>
      </c>
      <c r="BB140" s="116"/>
      <c r="BC140" s="69">
        <f>+BC131</f>
        <v>2</v>
      </c>
      <c r="BE140" s="129"/>
      <c r="BF140" s="52">
        <f>+BF138</f>
        <v>1010.0233504683798</v>
      </c>
      <c r="BH140" s="121"/>
      <c r="BI140" s="69">
        <f>+BI138</f>
        <v>1198.194989607204</v>
      </c>
      <c r="BK140" s="125">
        <f t="shared" si="103"/>
        <v>11.43</v>
      </c>
      <c r="BL140" s="185">
        <f t="shared" si="100"/>
        <v>1</v>
      </c>
      <c r="BM140" s="52">
        <f t="shared" si="100"/>
        <v>6.4</v>
      </c>
      <c r="BO140" s="116">
        <f t="shared" si="104"/>
        <v>28.67</v>
      </c>
      <c r="BP140" s="181">
        <f t="shared" si="105"/>
        <v>1</v>
      </c>
      <c r="BQ140" s="69">
        <f t="shared" si="106"/>
        <v>11.87</v>
      </c>
    </row>
    <row r="141" spans="2:69" ht="11.1" customHeight="1" x14ac:dyDescent="0.15">
      <c r="B141" s="398"/>
      <c r="C141" s="97">
        <v>43040</v>
      </c>
      <c r="D141" s="98">
        <v>556.26969204589068</v>
      </c>
      <c r="E141" s="98">
        <f>AVERAGE(D132:D137,D127:D130,D139:D140)</f>
        <v>549.3170965374635</v>
      </c>
      <c r="F141" s="99">
        <f>(E141-E140)/E140</f>
        <v>2.3025093353717056E-3</v>
      </c>
      <c r="H141" s="64"/>
      <c r="I141" s="69">
        <f t="shared" si="90"/>
        <v>33.144810231956107</v>
      </c>
      <c r="K141" s="42"/>
      <c r="L141" s="52">
        <f t="shared" si="101"/>
        <v>47.388748044865139</v>
      </c>
      <c r="N141" s="64"/>
      <c r="O141" s="69">
        <f t="shared" si="94"/>
        <v>10083212.562919734</v>
      </c>
      <c r="Q141" s="42"/>
      <c r="R141" s="52">
        <f t="shared" si="95"/>
        <v>11927011.78677739</v>
      </c>
      <c r="T141" s="149"/>
      <c r="U141" s="149"/>
      <c r="W141" s="149"/>
      <c r="X141" s="149"/>
      <c r="Z141" s="116"/>
      <c r="AA141" s="69">
        <v>24.58</v>
      </c>
      <c r="AC141" s="125"/>
      <c r="AD141" s="52">
        <v>9848999.7200000007</v>
      </c>
      <c r="AF141" s="116"/>
      <c r="AG141" s="69">
        <v>11.43</v>
      </c>
      <c r="AI141" s="125"/>
      <c r="AJ141" s="52">
        <v>4444584.91</v>
      </c>
      <c r="AL141" s="139">
        <f>AL140*(1+F140)</f>
        <v>65.919406693256448</v>
      </c>
      <c r="AM141" s="248">
        <f>AM140*(1+F140)</f>
        <v>193.47673977903241</v>
      </c>
      <c r="AO141" s="42"/>
      <c r="AP141" s="153">
        <f>AP129</f>
        <v>0</v>
      </c>
      <c r="AQ141" s="52">
        <f t="shared" si="102"/>
        <v>184.36544628405747</v>
      </c>
      <c r="AS141" s="431">
        <f t="shared" si="98"/>
        <v>74.082815605215444</v>
      </c>
      <c r="AT141" s="432"/>
      <c r="AV141" s="116"/>
      <c r="AW141" s="69">
        <f>+AW131</f>
        <v>4.1100000000000003</v>
      </c>
      <c r="AY141" s="125"/>
      <c r="AZ141" s="52">
        <f>+AZ131</f>
        <v>1</v>
      </c>
      <c r="BB141" s="116"/>
      <c r="BC141" s="69">
        <f>+BC131</f>
        <v>2</v>
      </c>
      <c r="BE141" s="129"/>
      <c r="BF141" s="52">
        <f>+BF138</f>
        <v>1010.0233504683798</v>
      </c>
      <c r="BH141" s="121"/>
      <c r="BI141" s="69">
        <f>+BI138</f>
        <v>1198.194989607204</v>
      </c>
      <c r="BK141" s="125">
        <f t="shared" si="103"/>
        <v>11.43</v>
      </c>
      <c r="BL141" s="185">
        <f t="shared" si="100"/>
        <v>1</v>
      </c>
      <c r="BM141" s="52">
        <f t="shared" si="100"/>
        <v>6.4</v>
      </c>
      <c r="BO141" s="116">
        <f t="shared" si="104"/>
        <v>28.67</v>
      </c>
      <c r="BP141" s="181">
        <f t="shared" si="105"/>
        <v>1</v>
      </c>
      <c r="BQ141" s="69">
        <f t="shared" si="106"/>
        <v>11.87</v>
      </c>
    </row>
    <row r="142" spans="2:69" ht="11.1" customHeight="1" thickBot="1" x14ac:dyDescent="0.2">
      <c r="B142" s="399"/>
      <c r="C142" s="100">
        <v>43070</v>
      </c>
      <c r="D142" s="106">
        <v>554.95514138154635</v>
      </c>
      <c r="E142" s="106">
        <f>AVERAGE(D132:D137,D128:D130,D139:D141)</f>
        <v>549.42210784853557</v>
      </c>
      <c r="F142" s="107">
        <f t="shared" si="107"/>
        <v>1.9116701761878269E-4</v>
      </c>
      <c r="H142" s="74"/>
      <c r="I142" s="67">
        <f t="shared" si="90"/>
        <v>33.144810231956107</v>
      </c>
      <c r="K142" s="58"/>
      <c r="L142" s="56">
        <f t="shared" si="101"/>
        <v>47.388748044865139</v>
      </c>
      <c r="N142" s="74"/>
      <c r="O142" s="67">
        <f t="shared" si="94"/>
        <v>10083212.562919734</v>
      </c>
      <c r="Q142" s="58"/>
      <c r="R142" s="56">
        <f t="shared" si="95"/>
        <v>11927011.78677739</v>
      </c>
      <c r="T142" s="149"/>
      <c r="U142" s="149"/>
      <c r="W142" s="149"/>
      <c r="X142" s="149"/>
      <c r="Z142" s="117"/>
      <c r="AA142" s="67">
        <v>24.58</v>
      </c>
      <c r="AC142" s="126"/>
      <c r="AD142" s="247">
        <v>9848999.7200000007</v>
      </c>
      <c r="AF142" s="117"/>
      <c r="AG142" s="67">
        <v>11.43</v>
      </c>
      <c r="AI142" s="126"/>
      <c r="AJ142" s="56">
        <v>4444584.91</v>
      </c>
      <c r="AL142" s="138">
        <f>AL141*(1+F141)</f>
        <v>66.071186742549827</v>
      </c>
      <c r="AM142" s="133">
        <f>AM141*(1+F141)</f>
        <v>193.92222177855092</v>
      </c>
      <c r="AO142" s="58"/>
      <c r="AP142" s="170">
        <f>AP129</f>
        <v>0</v>
      </c>
      <c r="AQ142" s="56">
        <f t="shared" si="102"/>
        <v>184.36544628405747</v>
      </c>
      <c r="AS142" s="444">
        <f t="shared" si="98"/>
        <v>74.082815605215444</v>
      </c>
      <c r="AT142" s="445"/>
      <c r="AV142" s="117"/>
      <c r="AW142" s="243">
        <f>+AW131</f>
        <v>4.1100000000000003</v>
      </c>
      <c r="AY142" s="186"/>
      <c r="AZ142" s="56">
        <f>+AZ131</f>
        <v>1</v>
      </c>
      <c r="BB142" s="146"/>
      <c r="BC142" s="67">
        <f>+BC131</f>
        <v>2</v>
      </c>
      <c r="BE142" s="177"/>
      <c r="BF142" s="56">
        <f>+BF138</f>
        <v>1010.0233504683798</v>
      </c>
      <c r="BH142" s="179"/>
      <c r="BI142" s="67">
        <f>+BI138</f>
        <v>1198.194989607204</v>
      </c>
      <c r="BK142" s="186">
        <f t="shared" si="103"/>
        <v>11.43</v>
      </c>
      <c r="BL142" s="187">
        <f t="shared" si="100"/>
        <v>1</v>
      </c>
      <c r="BM142" s="56">
        <f t="shared" si="100"/>
        <v>6.4</v>
      </c>
      <c r="BO142" s="146">
        <f t="shared" si="104"/>
        <v>28.67</v>
      </c>
      <c r="BP142" s="182">
        <f t="shared" si="105"/>
        <v>1</v>
      </c>
      <c r="BQ142" s="67">
        <f t="shared" si="106"/>
        <v>11.87</v>
      </c>
    </row>
    <row r="143" spans="2:69" ht="11.1" customHeight="1" x14ac:dyDescent="0.15">
      <c r="B143" s="397">
        <v>2018</v>
      </c>
      <c r="C143" s="94">
        <v>43101</v>
      </c>
      <c r="D143" s="103">
        <v>553.16</v>
      </c>
      <c r="E143" s="103">
        <f>AVERAGE(D132:D137,D129:D130,D139:D142)</f>
        <v>550.40709847701464</v>
      </c>
      <c r="F143" s="105">
        <f>(E143-E142)/E142</f>
        <v>1.7927757445657965E-3</v>
      </c>
      <c r="H143" s="62"/>
      <c r="I143" s="73">
        <f>(1+(($E$142-$E$14)/$E$14))*$H$20*0.98</f>
        <v>33.434405048837846</v>
      </c>
      <c r="K143" s="40"/>
      <c r="L143" s="57">
        <f>(1+((E142-$E$14)/$E$14))*K$20*0.98</f>
        <v>47.802795846504878</v>
      </c>
      <c r="N143" s="62"/>
      <c r="O143" s="73">
        <f>(1+((E142-$E$14)/$E$14))*N$20*0.98</f>
        <v>10171312.210354827</v>
      </c>
      <c r="Q143" s="40"/>
      <c r="R143" s="57">
        <f>(1+((E142-$E$14)/$E$14))*Q$20*0.98</f>
        <v>12031221.186987143</v>
      </c>
      <c r="T143" s="149"/>
      <c r="U143" s="149"/>
      <c r="W143" s="149"/>
      <c r="X143" s="149"/>
      <c r="Z143" s="119"/>
      <c r="AA143" s="73">
        <f>Z131*0.98*(1+((E142-$E$129)/$E$129))</f>
        <v>24.287624715388784</v>
      </c>
      <c r="AC143" s="183"/>
      <c r="AD143" s="176">
        <f>AC131*0.98*(1+((E142-$E$129)/$E$129))</f>
        <v>9731847.3971248679</v>
      </c>
      <c r="AF143" s="119"/>
      <c r="AG143" s="73">
        <f>AF131*0.98*(1+((E142-$E$129)/$E$129))</f>
        <v>11.294041924202352</v>
      </c>
      <c r="AI143" s="183"/>
      <c r="AJ143" s="176">
        <f>AI131*0.98*(1+((E142-$E$129)/$E$129))</f>
        <v>4391717.2623986993</v>
      </c>
      <c r="AL143" s="148">
        <f>AL142*(1+F142)*0.98</f>
        <v>64.762141026784533</v>
      </c>
      <c r="AM143" s="73">
        <f>AM142*(1+F142)*0.98</f>
        <v>190.08010744511154</v>
      </c>
      <c r="AO143" s="40"/>
      <c r="AP143" s="172">
        <v>0</v>
      </c>
      <c r="AQ143" s="175">
        <f>AP$20*0.98*(1+((E142-$E$14)/$E$14))</f>
        <v>185.97629508006221</v>
      </c>
      <c r="AS143" s="442">
        <f>+(AG143+((BF143)/66.17)+L143)</f>
        <v>74.179341616766152</v>
      </c>
      <c r="AT143" s="443"/>
      <c r="AV143" s="119"/>
      <c r="AW143" s="73">
        <f>AV131*0.98*(1+((E142-$E$129)/$E$129))</f>
        <v>4.0611121879677752</v>
      </c>
      <c r="AY143" s="183"/>
      <c r="AZ143" s="176">
        <f>AY131*0.98*(1+((E142-$E$129)/$E$129))</f>
        <v>0.98810515522330289</v>
      </c>
      <c r="BB143" s="119"/>
      <c r="BC143" s="178">
        <f>BB131*0.98*(1+((E142-$E$129)/$E$129))</f>
        <v>1.9762103104466058</v>
      </c>
      <c r="BE143" s="128"/>
      <c r="BF143" s="176">
        <f>BE138*0.98*(1+((E142-$E$129)/$E$129))</f>
        <v>998.00927949371896</v>
      </c>
      <c r="BH143" s="120"/>
      <c r="BI143" s="178">
        <f>BH138*0.98*(1+((E142-$E$129)/$E$129))</f>
        <v>1183.9426461936102</v>
      </c>
      <c r="BK143" s="183">
        <f>11.43*0.98*(1+((E142-$E$129)/$E$129))</f>
        <v>11.294041924202352</v>
      </c>
      <c r="BL143" s="184">
        <f>1*0.98*(1+((E142-$E$129)/$E$129))</f>
        <v>0.98810515522330289</v>
      </c>
      <c r="BM143" s="176">
        <f>6.4*0.98*(1+((E142-$E$129)/$E$129))</f>
        <v>6.3238729934291387</v>
      </c>
      <c r="BO143" s="119">
        <f>25.22*0.98*(1+((E142-$E$129)/$E$129))</f>
        <v>24.920012014731697</v>
      </c>
      <c r="BP143" s="180">
        <f>1*0.98*(1+((E142-$E$129)/$E$129))</f>
        <v>0.98810515522330289</v>
      </c>
      <c r="BQ143" s="178">
        <f>11.87*0.98*(1+((E142-$E$129)/$E$129))</f>
        <v>11.728808192500605</v>
      </c>
    </row>
    <row r="144" spans="2:69" ht="11.1" customHeight="1" x14ac:dyDescent="0.15">
      <c r="B144" s="398"/>
      <c r="C144" s="97">
        <v>43132</v>
      </c>
      <c r="D144" s="98">
        <v>554.45000000000005</v>
      </c>
      <c r="E144" s="98">
        <f>AVERAGE(D132:D137,D130,D139:D143)</f>
        <v>550.80837475117107</v>
      </c>
      <c r="F144" s="99">
        <f>(E144-E143)/E143</f>
        <v>7.2905359554186009E-4</v>
      </c>
      <c r="H144" s="64"/>
      <c r="I144" s="69">
        <f>+I143</f>
        <v>33.434405048837846</v>
      </c>
      <c r="K144" s="42"/>
      <c r="L144" s="52">
        <f>+L143</f>
        <v>47.802795846504878</v>
      </c>
      <c r="N144" s="64"/>
      <c r="O144" s="69">
        <f>+O143</f>
        <v>10171312.210354827</v>
      </c>
      <c r="Q144" s="42"/>
      <c r="R144" s="52">
        <f>+R143</f>
        <v>12031221.186987143</v>
      </c>
      <c r="T144" s="149"/>
      <c r="U144" s="149"/>
      <c r="W144" s="149"/>
      <c r="X144" s="149"/>
      <c r="Z144" s="64"/>
      <c r="AA144" s="69">
        <f>+AA143</f>
        <v>24.287624715388784</v>
      </c>
      <c r="AC144" s="125"/>
      <c r="AD144" s="52">
        <f>+AD143</f>
        <v>9731847.3971248679</v>
      </c>
      <c r="AF144" s="64"/>
      <c r="AG144" s="69">
        <f>+AG143</f>
        <v>11.294041924202352</v>
      </c>
      <c r="AI144" s="125"/>
      <c r="AJ144" s="52">
        <f>+AJ143</f>
        <v>4391717.2623986993</v>
      </c>
      <c r="AL144" s="139">
        <f t="shared" ref="AL144:AL154" si="108">AL143*(1+F143)</f>
        <v>64.878245022383496</v>
      </c>
      <c r="AM144" s="248">
        <f t="shared" ref="AM144:AM154" si="109">AM143*(1+F143)</f>
        <v>190.42087845126358</v>
      </c>
      <c r="AO144" s="42"/>
      <c r="AP144" s="153">
        <f>AP143</f>
        <v>0</v>
      </c>
      <c r="AQ144" s="52">
        <f>+AQ143</f>
        <v>185.97629508006221</v>
      </c>
      <c r="AS144" s="431">
        <f>+AS143</f>
        <v>74.179341616766152</v>
      </c>
      <c r="AT144" s="432"/>
      <c r="AV144" s="64"/>
      <c r="AW144" s="69">
        <f>+AW143</f>
        <v>4.0611121879677752</v>
      </c>
      <c r="AY144" s="125"/>
      <c r="AZ144" s="52">
        <f>+AZ143</f>
        <v>0.98810515522330289</v>
      </c>
      <c r="BB144" s="116"/>
      <c r="BC144" s="69">
        <f>+BC143</f>
        <v>1.9762103104466058</v>
      </c>
      <c r="BE144" s="129"/>
      <c r="BF144" s="52">
        <f>+BF143</f>
        <v>998.00927949371896</v>
      </c>
      <c r="BH144" s="121"/>
      <c r="BI144" s="69">
        <f>+BI143</f>
        <v>1183.9426461936102</v>
      </c>
      <c r="BK144" s="125">
        <f>+BK143</f>
        <v>11.294041924202352</v>
      </c>
      <c r="BL144" s="185">
        <f t="shared" ref="BL144:BM144" si="110">+BL143</f>
        <v>0.98810515522330289</v>
      </c>
      <c r="BM144" s="52">
        <f t="shared" si="110"/>
        <v>6.3238729934291387</v>
      </c>
      <c r="BO144" s="116">
        <f>+BO143</f>
        <v>24.920012014731697</v>
      </c>
      <c r="BP144" s="181">
        <f t="shared" ref="BP144:BQ144" si="111">+BP143</f>
        <v>0.98810515522330289</v>
      </c>
      <c r="BQ144" s="69">
        <f t="shared" si="111"/>
        <v>11.728808192500605</v>
      </c>
    </row>
    <row r="145" spans="2:69" ht="11.1" customHeight="1" x14ac:dyDescent="0.15">
      <c r="B145" s="398"/>
      <c r="C145" s="97">
        <v>43160</v>
      </c>
      <c r="D145" s="98">
        <v>549.01</v>
      </c>
      <c r="E145" s="98">
        <f>AVERAGE(D132:D137,D139:D144)</f>
        <v>551.58924149261543</v>
      </c>
      <c r="F145" s="99">
        <f>(E145-E144)/E144</f>
        <v>1.4176740536981024E-3</v>
      </c>
      <c r="H145" s="64"/>
      <c r="I145" s="69">
        <f t="shared" ref="I145:I153" si="112">+I144</f>
        <v>33.434405048837846</v>
      </c>
      <c r="K145" s="42"/>
      <c r="L145" s="52">
        <f t="shared" ref="L145:L153" si="113">+L144</f>
        <v>47.802795846504878</v>
      </c>
      <c r="N145" s="64"/>
      <c r="O145" s="69">
        <f t="shared" ref="O145:O153" si="114">+O144</f>
        <v>10171312.210354827</v>
      </c>
      <c r="Q145" s="42"/>
      <c r="R145" s="52">
        <f t="shared" ref="R145:R153" si="115">+R144</f>
        <v>12031221.186987143</v>
      </c>
      <c r="T145" s="149"/>
      <c r="U145" s="149"/>
      <c r="W145" s="149"/>
      <c r="X145" s="149"/>
      <c r="Z145" s="64"/>
      <c r="AA145" s="69">
        <f>+AA143</f>
        <v>24.287624715388784</v>
      </c>
      <c r="AC145" s="125"/>
      <c r="AD145" s="52">
        <f>+AD143</f>
        <v>9731847.3971248679</v>
      </c>
      <c r="AF145" s="64"/>
      <c r="AG145" s="69">
        <f>+AG144</f>
        <v>11.294041924202352</v>
      </c>
      <c r="AI145" s="125"/>
      <c r="AJ145" s="52">
        <f t="shared" ref="AJ145:AJ153" si="116">+AJ144</f>
        <v>4391717.2623986993</v>
      </c>
      <c r="AL145" s="139">
        <f t="shared" si="108"/>
        <v>64.925544740189508</v>
      </c>
      <c r="AM145" s="248">
        <f t="shared" si="109"/>
        <v>190.5597054773647</v>
      </c>
      <c r="AO145" s="42"/>
      <c r="AP145" s="153">
        <f>AP143</f>
        <v>0</v>
      </c>
      <c r="AQ145" s="52">
        <f>+AQ144</f>
        <v>185.97629508006221</v>
      </c>
      <c r="AS145" s="431">
        <f t="shared" ref="AS145:AS147" si="117">+AS144</f>
        <v>74.179341616766152</v>
      </c>
      <c r="AT145" s="432"/>
      <c r="AV145" s="64"/>
      <c r="AW145" s="69">
        <f t="shared" ref="AW145:AW154" si="118">+AW144</f>
        <v>4.0611121879677752</v>
      </c>
      <c r="AY145" s="125"/>
      <c r="AZ145" s="52">
        <f t="shared" ref="AZ145:AZ153" si="119">+AZ144</f>
        <v>0.98810515522330289</v>
      </c>
      <c r="BB145" s="116"/>
      <c r="BC145" s="69">
        <f t="shared" ref="BC145:BC154" si="120">+BC144</f>
        <v>1.9762103104466058</v>
      </c>
      <c r="BE145" s="129"/>
      <c r="BF145" s="52">
        <f t="shared" ref="BF145:BF154" si="121">+BF144</f>
        <v>998.00927949371896</v>
      </c>
      <c r="BH145" s="121"/>
      <c r="BI145" s="69">
        <f t="shared" ref="BI145:BI153" si="122">+BI144</f>
        <v>1183.9426461936102</v>
      </c>
      <c r="BK145" s="125">
        <f>+BK144</f>
        <v>11.294041924202352</v>
      </c>
      <c r="BL145" s="185">
        <f>+BL144</f>
        <v>0.98810515522330289</v>
      </c>
      <c r="BM145" s="52">
        <f>+BM144</f>
        <v>6.3238729934291387</v>
      </c>
      <c r="BO145" s="116">
        <f>+BO144</f>
        <v>24.920012014731697</v>
      </c>
      <c r="BP145" s="181">
        <f>+BP144</f>
        <v>0.98810515522330289</v>
      </c>
      <c r="BQ145" s="69">
        <f>+BQ144</f>
        <v>11.728808192500605</v>
      </c>
    </row>
    <row r="146" spans="2:69" ht="11.1" customHeight="1" x14ac:dyDescent="0.15">
      <c r="B146" s="398"/>
      <c r="C146" s="97">
        <v>43191</v>
      </c>
      <c r="D146" s="98">
        <v>549.44000000000005</v>
      </c>
      <c r="E146" s="98">
        <f>AVERAGE(D133:D137,D139:D145)</f>
        <v>551.96824622568533</v>
      </c>
      <c r="F146" s="99">
        <f t="shared" ref="F146:F151" si="123">(E146-E145)/E145</f>
        <v>6.8711407794015027E-4</v>
      </c>
      <c r="H146" s="64"/>
      <c r="I146" s="69">
        <f t="shared" si="112"/>
        <v>33.434405048837846</v>
      </c>
      <c r="K146" s="42"/>
      <c r="L146" s="52">
        <f t="shared" si="113"/>
        <v>47.802795846504878</v>
      </c>
      <c r="N146" s="64"/>
      <c r="O146" s="69">
        <f t="shared" si="114"/>
        <v>10171312.210354827</v>
      </c>
      <c r="Q146" s="42"/>
      <c r="R146" s="52">
        <f t="shared" si="115"/>
        <v>12031221.186987143</v>
      </c>
      <c r="T146" s="149"/>
      <c r="U146" s="149"/>
      <c r="W146" s="149"/>
      <c r="X146" s="149"/>
      <c r="Z146" s="64"/>
      <c r="AA146" s="69">
        <f>+AA143</f>
        <v>24.287624715388784</v>
      </c>
      <c r="AC146" s="125"/>
      <c r="AD146" s="52">
        <f>+AD143</f>
        <v>9731847.3971248679</v>
      </c>
      <c r="AF146" s="64"/>
      <c r="AG146" s="69">
        <f t="shared" ref="AG146:AG153" si="124">+AG145</f>
        <v>11.294041924202352</v>
      </c>
      <c r="AI146" s="125"/>
      <c r="AJ146" s="52">
        <f t="shared" si="116"/>
        <v>4391717.2623986993</v>
      </c>
      <c r="AL146" s="139">
        <f t="shared" si="108"/>
        <v>65.017588000389892</v>
      </c>
      <c r="AM146" s="248">
        <f t="shared" si="109"/>
        <v>190.82985702750034</v>
      </c>
      <c r="AO146" s="42"/>
      <c r="AP146" s="153">
        <f>AP143</f>
        <v>0</v>
      </c>
      <c r="AQ146" s="52">
        <f t="shared" ref="AQ146:AQ154" si="125">+AQ145</f>
        <v>185.97629508006221</v>
      </c>
      <c r="AS146" s="431">
        <f t="shared" si="117"/>
        <v>74.179341616766152</v>
      </c>
      <c r="AT146" s="432"/>
      <c r="AV146" s="64"/>
      <c r="AW146" s="69">
        <f t="shared" si="118"/>
        <v>4.0611121879677752</v>
      </c>
      <c r="AY146" s="125"/>
      <c r="AZ146" s="52">
        <f t="shared" si="119"/>
        <v>0.98810515522330289</v>
      </c>
      <c r="BB146" s="116"/>
      <c r="BC146" s="69">
        <f t="shared" si="120"/>
        <v>1.9762103104466058</v>
      </c>
      <c r="BE146" s="129"/>
      <c r="BF146" s="52">
        <f t="shared" si="121"/>
        <v>998.00927949371896</v>
      </c>
      <c r="BH146" s="121"/>
      <c r="BI146" s="69">
        <f t="shared" si="122"/>
        <v>1183.9426461936102</v>
      </c>
      <c r="BK146" s="125">
        <f t="shared" ref="BK146:BM154" si="126">+BK145</f>
        <v>11.294041924202352</v>
      </c>
      <c r="BL146" s="185">
        <f t="shared" si="126"/>
        <v>0.98810515522330289</v>
      </c>
      <c r="BM146" s="52">
        <f t="shared" si="126"/>
        <v>6.3238729934291387</v>
      </c>
      <c r="BO146" s="116">
        <f t="shared" ref="BO146:BQ154" si="127">+BO145</f>
        <v>24.920012014731697</v>
      </c>
      <c r="BP146" s="181">
        <f t="shared" si="127"/>
        <v>0.98810515522330289</v>
      </c>
      <c r="BQ146" s="69">
        <f t="shared" si="127"/>
        <v>11.728808192500605</v>
      </c>
    </row>
    <row r="147" spans="2:69" ht="11.1" customHeight="1" x14ac:dyDescent="0.15">
      <c r="B147" s="398"/>
      <c r="C147" s="97">
        <v>43221</v>
      </c>
      <c r="D147" s="98">
        <v>556.49</v>
      </c>
      <c r="E147" s="98">
        <f>AVERAGE(D134:D137,D139:D146)</f>
        <v>552.06241289235197</v>
      </c>
      <c r="F147" s="99">
        <f t="shared" si="123"/>
        <v>1.7060160128873716E-4</v>
      </c>
      <c r="H147" s="64"/>
      <c r="I147" s="69">
        <f t="shared" si="112"/>
        <v>33.434405048837846</v>
      </c>
      <c r="K147" s="42"/>
      <c r="L147" s="52">
        <f t="shared" si="113"/>
        <v>47.802795846504878</v>
      </c>
      <c r="N147" s="64"/>
      <c r="O147" s="69">
        <f t="shared" si="114"/>
        <v>10171312.210354827</v>
      </c>
      <c r="Q147" s="42"/>
      <c r="R147" s="52">
        <f t="shared" si="115"/>
        <v>12031221.186987143</v>
      </c>
      <c r="T147" s="149"/>
      <c r="U147" s="149"/>
      <c r="W147" s="149"/>
      <c r="X147" s="149"/>
      <c r="Z147" s="64"/>
      <c r="AA147" s="69">
        <f>+AA143</f>
        <v>24.287624715388784</v>
      </c>
      <c r="AC147" s="125"/>
      <c r="AD147" s="52">
        <f>+AD143</f>
        <v>9731847.3971248679</v>
      </c>
      <c r="AF147" s="64"/>
      <c r="AG147" s="69">
        <f>+AG146</f>
        <v>11.294041924202352</v>
      </c>
      <c r="AI147" s="125"/>
      <c r="AJ147" s="52">
        <f t="shared" si="116"/>
        <v>4391717.2623986993</v>
      </c>
      <c r="AL147" s="139">
        <f t="shared" si="108"/>
        <v>65.062262500418669</v>
      </c>
      <c r="AM147" s="248">
        <f t="shared" si="109"/>
        <v>190.96097890875524</v>
      </c>
      <c r="AO147" s="42"/>
      <c r="AP147" s="153">
        <f>AP143</f>
        <v>0</v>
      </c>
      <c r="AQ147" s="52">
        <f t="shared" si="125"/>
        <v>185.97629508006221</v>
      </c>
      <c r="AS147" s="431">
        <f t="shared" si="117"/>
        <v>74.179341616766152</v>
      </c>
      <c r="AT147" s="432"/>
      <c r="AV147" s="64"/>
      <c r="AW147" s="69">
        <f t="shared" si="118"/>
        <v>4.0611121879677752</v>
      </c>
      <c r="AY147" s="125"/>
      <c r="AZ147" s="52">
        <f t="shared" si="119"/>
        <v>0.98810515522330289</v>
      </c>
      <c r="BB147" s="116"/>
      <c r="BC147" s="69">
        <f t="shared" si="120"/>
        <v>1.9762103104466058</v>
      </c>
      <c r="BE147" s="129"/>
      <c r="BF147" s="52">
        <f t="shared" si="121"/>
        <v>998.00927949371896</v>
      </c>
      <c r="BH147" s="121"/>
      <c r="BI147" s="69">
        <f t="shared" si="122"/>
        <v>1183.9426461936102</v>
      </c>
      <c r="BK147" s="125">
        <f t="shared" si="126"/>
        <v>11.294041924202352</v>
      </c>
      <c r="BL147" s="185">
        <f t="shared" si="126"/>
        <v>0.98810515522330289</v>
      </c>
      <c r="BM147" s="52">
        <f t="shared" si="126"/>
        <v>6.3238729934291387</v>
      </c>
      <c r="BO147" s="116">
        <f t="shared" si="127"/>
        <v>24.920012014731697</v>
      </c>
      <c r="BP147" s="181">
        <f t="shared" si="127"/>
        <v>0.98810515522330289</v>
      </c>
      <c r="BQ147" s="69">
        <f t="shared" si="127"/>
        <v>11.728808192500605</v>
      </c>
    </row>
    <row r="148" spans="2:69" ht="11.1" customHeight="1" x14ac:dyDescent="0.15">
      <c r="B148" s="398"/>
      <c r="C148" s="97">
        <v>43252</v>
      </c>
      <c r="D148" s="98">
        <v>560.59</v>
      </c>
      <c r="E148" s="98">
        <f>AVERAGE(D135:D137,D139:D147)</f>
        <v>552.90074622568534</v>
      </c>
      <c r="F148" s="99">
        <f t="shared" si="123"/>
        <v>1.5185481093363902E-3</v>
      </c>
      <c r="H148" s="64"/>
      <c r="I148" s="69">
        <f t="shared" si="112"/>
        <v>33.434405048837846</v>
      </c>
      <c r="K148" s="42"/>
      <c r="L148" s="52">
        <f t="shared" si="113"/>
        <v>47.802795846504878</v>
      </c>
      <c r="N148" s="64"/>
      <c r="O148" s="69">
        <f t="shared" si="114"/>
        <v>10171312.210354827</v>
      </c>
      <c r="Q148" s="42"/>
      <c r="R148" s="52">
        <f t="shared" si="115"/>
        <v>12031221.186987143</v>
      </c>
      <c r="T148" s="149"/>
      <c r="U148" s="149"/>
      <c r="W148" s="149"/>
      <c r="X148" s="149"/>
      <c r="Z148" s="64"/>
      <c r="AA148" s="69">
        <f>+AA143</f>
        <v>24.287624715388784</v>
      </c>
      <c r="AC148" s="125"/>
      <c r="AD148" s="52">
        <f>+AD143</f>
        <v>9731847.3971248679</v>
      </c>
      <c r="AF148" s="64"/>
      <c r="AG148" s="69">
        <f t="shared" si="124"/>
        <v>11.294041924202352</v>
      </c>
      <c r="AI148" s="125"/>
      <c r="AJ148" s="52">
        <f t="shared" si="116"/>
        <v>4391717.2623986993</v>
      </c>
      <c r="AL148" s="139">
        <f t="shared" si="108"/>
        <v>65.073362226584706</v>
      </c>
      <c r="AM148" s="248">
        <f t="shared" si="109"/>
        <v>190.99355715754075</v>
      </c>
      <c r="AO148" s="42"/>
      <c r="AP148" s="153">
        <f t="shared" ref="AP148:AP153" si="128">AP144</f>
        <v>0</v>
      </c>
      <c r="AQ148" s="52">
        <f t="shared" si="125"/>
        <v>185.97629508006221</v>
      </c>
      <c r="AS148" s="440">
        <f t="shared" ref="AS148:AS161" si="129">AG148+(BF148/66.17)+L148+((0.2006*AG148)*0.1)</f>
        <v>74.405900097765652</v>
      </c>
      <c r="AT148" s="441"/>
      <c r="AV148" s="64"/>
      <c r="AW148" s="69">
        <f t="shared" si="118"/>
        <v>4.0611121879677752</v>
      </c>
      <c r="AY148" s="125"/>
      <c r="AZ148" s="52">
        <f t="shared" si="119"/>
        <v>0.98810515522330289</v>
      </c>
      <c r="BB148" s="116"/>
      <c r="BC148" s="69">
        <f t="shared" si="120"/>
        <v>1.9762103104466058</v>
      </c>
      <c r="BE148" s="129"/>
      <c r="BF148" s="52">
        <f t="shared" si="121"/>
        <v>998.00927949371896</v>
      </c>
      <c r="BH148" s="121"/>
      <c r="BI148" s="69">
        <f t="shared" si="122"/>
        <v>1183.9426461936102</v>
      </c>
      <c r="BK148" s="125">
        <f t="shared" si="126"/>
        <v>11.294041924202352</v>
      </c>
      <c r="BL148" s="185">
        <f t="shared" si="126"/>
        <v>0.98810515522330289</v>
      </c>
      <c r="BM148" s="52">
        <f t="shared" si="126"/>
        <v>6.3238729934291387</v>
      </c>
      <c r="BO148" s="116">
        <f t="shared" si="127"/>
        <v>24.920012014731697</v>
      </c>
      <c r="BP148" s="181">
        <f t="shared" si="127"/>
        <v>0.98810515522330289</v>
      </c>
      <c r="BQ148" s="69">
        <f t="shared" si="127"/>
        <v>11.728808192500605</v>
      </c>
    </row>
    <row r="149" spans="2:69" ht="11.1" customHeight="1" x14ac:dyDescent="0.15">
      <c r="B149" s="398"/>
      <c r="C149" s="97">
        <v>43282</v>
      </c>
      <c r="D149" s="98">
        <v>557.74416746640202</v>
      </c>
      <c r="E149" s="98">
        <f>AVERAGE(D136:D137,D139:D148)</f>
        <v>553.40324622568539</v>
      </c>
      <c r="F149" s="99">
        <f t="shared" si="123"/>
        <v>9.0884304901072072E-4</v>
      </c>
      <c r="H149" s="64"/>
      <c r="I149" s="69">
        <f t="shared" si="112"/>
        <v>33.434405048837846</v>
      </c>
      <c r="K149" s="42"/>
      <c r="L149" s="52">
        <f t="shared" si="113"/>
        <v>47.802795846504878</v>
      </c>
      <c r="N149" s="64"/>
      <c r="O149" s="69">
        <f t="shared" si="114"/>
        <v>10171312.210354827</v>
      </c>
      <c r="Q149" s="42"/>
      <c r="R149" s="52">
        <f t="shared" si="115"/>
        <v>12031221.186987143</v>
      </c>
      <c r="T149" s="149"/>
      <c r="U149" s="149"/>
      <c r="W149" s="149"/>
      <c r="X149" s="149"/>
      <c r="Z149" s="64"/>
      <c r="AA149" s="69">
        <f>+AA143</f>
        <v>24.287624715388784</v>
      </c>
      <c r="AC149" s="125"/>
      <c r="AD149" s="52">
        <f>+AD143</f>
        <v>9731847.3971248679</v>
      </c>
      <c r="AF149" s="64"/>
      <c r="AG149" s="69">
        <f t="shared" si="124"/>
        <v>11.294041924202352</v>
      </c>
      <c r="AI149" s="125"/>
      <c r="AJ149" s="52">
        <f t="shared" si="116"/>
        <v>4391717.2623986993</v>
      </c>
      <c r="AL149" s="139">
        <f t="shared" si="108"/>
        <v>65.172179257762053</v>
      </c>
      <c r="AM149" s="248">
        <f t="shared" si="109"/>
        <v>191.28359006265779</v>
      </c>
      <c r="AO149" s="42"/>
      <c r="AP149" s="153">
        <f t="shared" si="128"/>
        <v>0</v>
      </c>
      <c r="AQ149" s="52">
        <f t="shared" si="125"/>
        <v>185.97629508006221</v>
      </c>
      <c r="AS149" s="431">
        <f t="shared" si="129"/>
        <v>74.405900097765652</v>
      </c>
      <c r="AT149" s="432"/>
      <c r="AV149" s="64"/>
      <c r="AW149" s="69">
        <f t="shared" si="118"/>
        <v>4.0611121879677752</v>
      </c>
      <c r="AY149" s="125"/>
      <c r="AZ149" s="52">
        <f t="shared" si="119"/>
        <v>0.98810515522330289</v>
      </c>
      <c r="BB149" s="116"/>
      <c r="BC149" s="69">
        <f t="shared" si="120"/>
        <v>1.9762103104466058</v>
      </c>
      <c r="BE149" s="129"/>
      <c r="BF149" s="52">
        <f t="shared" si="121"/>
        <v>998.00927949371896</v>
      </c>
      <c r="BH149" s="121"/>
      <c r="BI149" s="69">
        <f t="shared" si="122"/>
        <v>1183.9426461936102</v>
      </c>
      <c r="BK149" s="125">
        <f t="shared" si="126"/>
        <v>11.294041924202352</v>
      </c>
      <c r="BL149" s="185">
        <f t="shared" si="126"/>
        <v>0.98810515522330289</v>
      </c>
      <c r="BM149" s="52">
        <f t="shared" si="126"/>
        <v>6.3238729934291387</v>
      </c>
      <c r="BO149" s="116">
        <f t="shared" si="127"/>
        <v>24.920012014731697</v>
      </c>
      <c r="BP149" s="181">
        <f t="shared" si="127"/>
        <v>0.98810515522330289</v>
      </c>
      <c r="BQ149" s="69">
        <f t="shared" si="127"/>
        <v>11.728808192500605</v>
      </c>
    </row>
    <row r="150" spans="2:69" ht="11.1" customHeight="1" x14ac:dyDescent="0.15">
      <c r="B150" s="398"/>
      <c r="C150" s="97">
        <v>43313</v>
      </c>
      <c r="D150" s="98">
        <v>569.05576801990367</v>
      </c>
      <c r="E150" s="98">
        <f t="shared" ref="E150:E159" si="130">AVERAGE(D138:D149)</f>
        <v>553.78790971393448</v>
      </c>
      <c r="F150" s="99">
        <f t="shared" si="123"/>
        <v>6.9508715547399928E-4</v>
      </c>
      <c r="H150" s="64"/>
      <c r="I150" s="69">
        <f t="shared" si="112"/>
        <v>33.434405048837846</v>
      </c>
      <c r="K150" s="42"/>
      <c r="L150" s="52">
        <f t="shared" si="113"/>
        <v>47.802795846504878</v>
      </c>
      <c r="N150" s="64"/>
      <c r="O150" s="69">
        <f t="shared" si="114"/>
        <v>10171312.210354827</v>
      </c>
      <c r="Q150" s="42"/>
      <c r="R150" s="52">
        <f t="shared" si="115"/>
        <v>12031221.186987143</v>
      </c>
      <c r="T150" s="149"/>
      <c r="U150" s="149"/>
      <c r="W150" s="149"/>
      <c r="X150" s="149"/>
      <c r="Z150" s="64"/>
      <c r="AA150" s="69">
        <f>+AA143</f>
        <v>24.287624715388784</v>
      </c>
      <c r="AC150" s="125"/>
      <c r="AD150" s="52">
        <f>+AD143</f>
        <v>9731847.3971248679</v>
      </c>
      <c r="AF150" s="64"/>
      <c r="AG150" s="69">
        <f t="shared" si="124"/>
        <v>11.294041924202352</v>
      </c>
      <c r="AI150" s="125"/>
      <c r="AJ150" s="52">
        <f t="shared" si="116"/>
        <v>4391717.2623986993</v>
      </c>
      <c r="AL150" s="139">
        <f t="shared" si="108"/>
        <v>65.231410539869358</v>
      </c>
      <c r="AM150" s="248">
        <f t="shared" si="109"/>
        <v>191.45743682387607</v>
      </c>
      <c r="AO150" s="42"/>
      <c r="AP150" s="153">
        <f t="shared" si="128"/>
        <v>0</v>
      </c>
      <c r="AQ150" s="52">
        <f t="shared" si="125"/>
        <v>185.97629508006221</v>
      </c>
      <c r="AS150" s="431">
        <f t="shared" si="129"/>
        <v>74.405900097765652</v>
      </c>
      <c r="AT150" s="432"/>
      <c r="AV150" s="64"/>
      <c r="AW150" s="69">
        <f t="shared" si="118"/>
        <v>4.0611121879677752</v>
      </c>
      <c r="AY150" s="125"/>
      <c r="AZ150" s="52">
        <f t="shared" si="119"/>
        <v>0.98810515522330289</v>
      </c>
      <c r="BB150" s="116"/>
      <c r="BC150" s="69">
        <f t="shared" si="120"/>
        <v>1.9762103104466058</v>
      </c>
      <c r="BE150" s="129"/>
      <c r="BF150" s="52">
        <f t="shared" si="121"/>
        <v>998.00927949371896</v>
      </c>
      <c r="BH150" s="121"/>
      <c r="BI150" s="69">
        <f t="shared" si="122"/>
        <v>1183.9426461936102</v>
      </c>
      <c r="BK150" s="125">
        <f t="shared" si="126"/>
        <v>11.294041924202352</v>
      </c>
      <c r="BL150" s="185">
        <f t="shared" si="126"/>
        <v>0.98810515522330289</v>
      </c>
      <c r="BM150" s="52">
        <f t="shared" si="126"/>
        <v>6.3238729934291387</v>
      </c>
      <c r="BO150" s="116">
        <f t="shared" si="127"/>
        <v>24.920012014731697</v>
      </c>
      <c r="BP150" s="181">
        <f t="shared" si="127"/>
        <v>0.98810515522330289</v>
      </c>
      <c r="BQ150" s="69">
        <f t="shared" si="127"/>
        <v>11.728808192500605</v>
      </c>
    </row>
    <row r="151" spans="2:69" ht="11.1" customHeight="1" x14ac:dyDescent="0.15">
      <c r="B151" s="398"/>
      <c r="C151" s="97">
        <v>43344</v>
      </c>
      <c r="D151" s="98">
        <v>567.29129927417989</v>
      </c>
      <c r="E151" s="98">
        <f t="shared" si="130"/>
        <v>555.43162769531421</v>
      </c>
      <c r="F151" s="99">
        <f t="shared" si="123"/>
        <v>2.9681362712104067E-3</v>
      </c>
      <c r="H151" s="64"/>
      <c r="I151" s="69">
        <f t="shared" si="112"/>
        <v>33.434405048837846</v>
      </c>
      <c r="K151" s="42"/>
      <c r="L151" s="52">
        <f t="shared" si="113"/>
        <v>47.802795846504878</v>
      </c>
      <c r="N151" s="64"/>
      <c r="O151" s="69">
        <f t="shared" si="114"/>
        <v>10171312.210354827</v>
      </c>
      <c r="Q151" s="42"/>
      <c r="R151" s="52">
        <f t="shared" si="115"/>
        <v>12031221.186987143</v>
      </c>
      <c r="T151" s="149"/>
      <c r="U151" s="149"/>
      <c r="W151" s="149"/>
      <c r="X151" s="149"/>
      <c r="Z151" s="64"/>
      <c r="AA151" s="69">
        <f>+AA143</f>
        <v>24.287624715388784</v>
      </c>
      <c r="AC151" s="125"/>
      <c r="AD151" s="52">
        <f>+AD143</f>
        <v>9731847.3971248679</v>
      </c>
      <c r="AF151" s="64"/>
      <c r="AG151" s="69">
        <f t="shared" si="124"/>
        <v>11.294041924202352</v>
      </c>
      <c r="AI151" s="125"/>
      <c r="AJ151" s="52">
        <f t="shared" si="116"/>
        <v>4391717.2623986993</v>
      </c>
      <c r="AL151" s="139">
        <f t="shared" si="108"/>
        <v>65.276752055469075</v>
      </c>
      <c r="AM151" s="248">
        <f t="shared" si="109"/>
        <v>191.59051642903233</v>
      </c>
      <c r="AO151" s="42"/>
      <c r="AP151" s="153">
        <f t="shared" si="128"/>
        <v>0</v>
      </c>
      <c r="AQ151" s="52">
        <f t="shared" si="125"/>
        <v>185.97629508006221</v>
      </c>
      <c r="AS151" s="431">
        <f t="shared" si="129"/>
        <v>74.405900097765652</v>
      </c>
      <c r="AT151" s="432"/>
      <c r="AV151" s="64"/>
      <c r="AW151" s="69">
        <f t="shared" si="118"/>
        <v>4.0611121879677752</v>
      </c>
      <c r="AY151" s="125"/>
      <c r="AZ151" s="52">
        <f t="shared" si="119"/>
        <v>0.98810515522330289</v>
      </c>
      <c r="BB151" s="116"/>
      <c r="BC151" s="69">
        <f t="shared" si="120"/>
        <v>1.9762103104466058</v>
      </c>
      <c r="BE151" s="129"/>
      <c r="BF151" s="52">
        <f t="shared" si="121"/>
        <v>998.00927949371896</v>
      </c>
      <c r="BH151" s="121"/>
      <c r="BI151" s="69">
        <f t="shared" si="122"/>
        <v>1183.9426461936102</v>
      </c>
      <c r="BK151" s="125">
        <f>+BK150</f>
        <v>11.294041924202352</v>
      </c>
      <c r="BL151" s="185">
        <f>+BL150</f>
        <v>0.98810515522330289</v>
      </c>
      <c r="BM151" s="52">
        <f>+BM150</f>
        <v>6.3238729934291387</v>
      </c>
      <c r="BO151" s="116">
        <f>+BO150</f>
        <v>24.920012014731697</v>
      </c>
      <c r="BP151" s="181">
        <f>+BP150</f>
        <v>0.98810515522330289</v>
      </c>
      <c r="BQ151" s="69">
        <f>+BQ150</f>
        <v>11.728808192500605</v>
      </c>
    </row>
    <row r="152" spans="2:69" ht="11.1" customHeight="1" x14ac:dyDescent="0.15">
      <c r="B152" s="398"/>
      <c r="C152" s="97">
        <v>43374</v>
      </c>
      <c r="D152" s="98">
        <v>585.36066214914854</v>
      </c>
      <c r="E152" s="98">
        <f t="shared" si="130"/>
        <v>556.94673596816267</v>
      </c>
      <c r="F152" s="99">
        <f t="shared" ref="F152:F177" si="131">(E152-E151)/E151</f>
        <v>2.7278033826327011E-3</v>
      </c>
      <c r="H152" s="64"/>
      <c r="I152" s="69">
        <f t="shared" si="112"/>
        <v>33.434405048837846</v>
      </c>
      <c r="K152" s="42"/>
      <c r="L152" s="52">
        <f t="shared" si="113"/>
        <v>47.802795846504878</v>
      </c>
      <c r="N152" s="64"/>
      <c r="O152" s="69">
        <f t="shared" si="114"/>
        <v>10171312.210354827</v>
      </c>
      <c r="Q152" s="42"/>
      <c r="R152" s="52">
        <f t="shared" si="115"/>
        <v>12031221.186987143</v>
      </c>
      <c r="T152" s="149"/>
      <c r="U152" s="149"/>
      <c r="W152" s="149"/>
      <c r="X152" s="149"/>
      <c r="Z152" s="64"/>
      <c r="AA152" s="69">
        <f>+AA143</f>
        <v>24.287624715388784</v>
      </c>
      <c r="AC152" s="125"/>
      <c r="AD152" s="52">
        <f>+AD143</f>
        <v>9731847.3971248679</v>
      </c>
      <c r="AF152" s="64"/>
      <c r="AG152" s="69">
        <f t="shared" si="124"/>
        <v>11.294041924202352</v>
      </c>
      <c r="AI152" s="125"/>
      <c r="AJ152" s="52">
        <f t="shared" si="116"/>
        <v>4391717.2623986993</v>
      </c>
      <c r="AL152" s="139">
        <f t="shared" si="108"/>
        <v>65.470502350911715</v>
      </c>
      <c r="AM152" s="248">
        <f t="shared" si="109"/>
        <v>192.15918319006528</v>
      </c>
      <c r="AO152" s="42"/>
      <c r="AP152" s="153">
        <f t="shared" si="128"/>
        <v>0</v>
      </c>
      <c r="AQ152" s="52">
        <f t="shared" si="125"/>
        <v>185.97629508006221</v>
      </c>
      <c r="AS152" s="431">
        <f t="shared" si="129"/>
        <v>74.405900097765652</v>
      </c>
      <c r="AT152" s="432"/>
      <c r="AV152" s="64"/>
      <c r="AW152" s="69">
        <f t="shared" si="118"/>
        <v>4.0611121879677752</v>
      </c>
      <c r="AY152" s="125"/>
      <c r="AZ152" s="52">
        <f>+AZ151</f>
        <v>0.98810515522330289</v>
      </c>
      <c r="BB152" s="116"/>
      <c r="BC152" s="69">
        <f>+BC151</f>
        <v>1.9762103104466058</v>
      </c>
      <c r="BE152" s="129"/>
      <c r="BF152" s="52">
        <f t="shared" si="121"/>
        <v>998.00927949371896</v>
      </c>
      <c r="BH152" s="121"/>
      <c r="BI152" s="69">
        <f t="shared" si="122"/>
        <v>1183.9426461936102</v>
      </c>
      <c r="BK152" s="125">
        <f t="shared" si="126"/>
        <v>11.294041924202352</v>
      </c>
      <c r="BL152" s="185">
        <f t="shared" si="126"/>
        <v>0.98810515522330289</v>
      </c>
      <c r="BM152" s="52">
        <f t="shared" si="126"/>
        <v>6.3238729934291387</v>
      </c>
      <c r="BO152" s="116">
        <f t="shared" si="127"/>
        <v>24.920012014731697</v>
      </c>
      <c r="BP152" s="181">
        <f t="shared" si="127"/>
        <v>0.98810515522330289</v>
      </c>
      <c r="BQ152" s="69">
        <f t="shared" si="127"/>
        <v>11.728808192500605</v>
      </c>
    </row>
    <row r="153" spans="2:69" ht="11.1" customHeight="1" x14ac:dyDescent="0.15">
      <c r="B153" s="398"/>
      <c r="C153" s="97">
        <v>43405</v>
      </c>
      <c r="D153" s="98">
        <v>588.11078373152156</v>
      </c>
      <c r="E153" s="98">
        <f t="shared" si="130"/>
        <v>559.48472752808937</v>
      </c>
      <c r="F153" s="99">
        <f t="shared" si="131"/>
        <v>4.5569735775806341E-3</v>
      </c>
      <c r="H153" s="64"/>
      <c r="I153" s="69">
        <f t="shared" si="112"/>
        <v>33.434405048837846</v>
      </c>
      <c r="K153" s="42"/>
      <c r="L153" s="52">
        <f t="shared" si="113"/>
        <v>47.802795846504878</v>
      </c>
      <c r="N153" s="64"/>
      <c r="O153" s="69">
        <f t="shared" si="114"/>
        <v>10171312.210354827</v>
      </c>
      <c r="Q153" s="42"/>
      <c r="R153" s="52">
        <f t="shared" si="115"/>
        <v>12031221.186987143</v>
      </c>
      <c r="T153" s="149"/>
      <c r="U153" s="149"/>
      <c r="W153" s="149"/>
      <c r="X153" s="149"/>
      <c r="Z153" s="64"/>
      <c r="AA153" s="69">
        <f>+AA143</f>
        <v>24.287624715388784</v>
      </c>
      <c r="AC153" s="125"/>
      <c r="AD153" s="52">
        <f>+AD143</f>
        <v>9731847.3971248679</v>
      </c>
      <c r="AF153" s="64"/>
      <c r="AG153" s="69">
        <f t="shared" si="124"/>
        <v>11.294041924202352</v>
      </c>
      <c r="AI153" s="125"/>
      <c r="AJ153" s="52">
        <f t="shared" si="116"/>
        <v>4391717.2623986993</v>
      </c>
      <c r="AL153" s="139">
        <f t="shared" si="108"/>
        <v>65.649093008687203</v>
      </c>
      <c r="AM153" s="248">
        <f t="shared" si="109"/>
        <v>192.68335565997509</v>
      </c>
      <c r="AO153" s="42"/>
      <c r="AP153" s="153">
        <f t="shared" si="128"/>
        <v>0</v>
      </c>
      <c r="AQ153" s="52">
        <f t="shared" si="125"/>
        <v>185.97629508006221</v>
      </c>
      <c r="AS153" s="431">
        <f t="shared" si="129"/>
        <v>74.405900097765652</v>
      </c>
      <c r="AT153" s="432"/>
      <c r="AV153" s="64"/>
      <c r="AW153" s="69">
        <f t="shared" si="118"/>
        <v>4.0611121879677752</v>
      </c>
      <c r="AY153" s="125"/>
      <c r="AZ153" s="52">
        <f t="shared" si="119"/>
        <v>0.98810515522330289</v>
      </c>
      <c r="BB153" s="116"/>
      <c r="BC153" s="69">
        <f t="shared" si="120"/>
        <v>1.9762103104466058</v>
      </c>
      <c r="BE153" s="129"/>
      <c r="BF153" s="52">
        <f t="shared" si="121"/>
        <v>998.00927949371896</v>
      </c>
      <c r="BH153" s="121"/>
      <c r="BI153" s="69">
        <f t="shared" si="122"/>
        <v>1183.9426461936102</v>
      </c>
      <c r="BK153" s="125">
        <f t="shared" si="126"/>
        <v>11.294041924202352</v>
      </c>
      <c r="BL153" s="185">
        <f t="shared" si="126"/>
        <v>0.98810515522330289</v>
      </c>
      <c r="BM153" s="52">
        <f t="shared" si="126"/>
        <v>6.3238729934291387</v>
      </c>
      <c r="BO153" s="116">
        <f t="shared" si="127"/>
        <v>24.920012014731697</v>
      </c>
      <c r="BP153" s="181">
        <f t="shared" si="127"/>
        <v>0.98810515522330289</v>
      </c>
      <c r="BQ153" s="69">
        <f t="shared" si="127"/>
        <v>11.728808192500605</v>
      </c>
    </row>
    <row r="154" spans="2:69" ht="11.1" customHeight="1" thickBot="1" x14ac:dyDescent="0.2">
      <c r="B154" s="399"/>
      <c r="C154" s="100">
        <v>43435</v>
      </c>
      <c r="D154" s="106">
        <v>588.59859236811758</v>
      </c>
      <c r="E154" s="106">
        <f t="shared" si="130"/>
        <v>562.13815183522513</v>
      </c>
      <c r="F154" s="107">
        <f t="shared" si="131"/>
        <v>4.742621516871607E-3</v>
      </c>
      <c r="H154" s="74"/>
      <c r="I154" s="67">
        <f t="shared" ref="I154" si="132">+I153</f>
        <v>33.434405048837846</v>
      </c>
      <c r="K154" s="58"/>
      <c r="L154" s="56">
        <f t="shared" ref="L154" si="133">+L153</f>
        <v>47.802795846504878</v>
      </c>
      <c r="N154" s="74"/>
      <c r="O154" s="67">
        <f t="shared" ref="O154" si="134">+O153</f>
        <v>10171312.210354827</v>
      </c>
      <c r="Q154" s="58"/>
      <c r="R154" s="56">
        <f t="shared" ref="R154" si="135">+R153</f>
        <v>12031221.186987143</v>
      </c>
      <c r="T154" s="149"/>
      <c r="U154" s="149"/>
      <c r="W154" s="149"/>
      <c r="X154" s="149"/>
      <c r="Z154" s="74"/>
      <c r="AA154" s="69">
        <f>+AA143</f>
        <v>24.287624715388784</v>
      </c>
      <c r="AC154" s="126"/>
      <c r="AD154" s="56">
        <f>+AD143</f>
        <v>9731847.3971248679</v>
      </c>
      <c r="AF154" s="74"/>
      <c r="AG154" s="67">
        <f t="shared" ref="AG154" si="136">+AG153</f>
        <v>11.294041924202352</v>
      </c>
      <c r="AI154" s="126"/>
      <c r="AJ154" s="56">
        <f t="shared" ref="AJ154" si="137">+AJ153</f>
        <v>4391717.2623986993</v>
      </c>
      <c r="AL154" s="138">
        <f t="shared" si="108"/>
        <v>65.948254190919926</v>
      </c>
      <c r="AM154" s="133">
        <f t="shared" si="109"/>
        <v>193.56140862055716</v>
      </c>
      <c r="AO154" s="58"/>
      <c r="AP154" s="170">
        <f>AP143</f>
        <v>0</v>
      </c>
      <c r="AQ154" s="56">
        <f t="shared" si="125"/>
        <v>185.97629508006221</v>
      </c>
      <c r="AS154" s="431">
        <f t="shared" si="129"/>
        <v>74.405900097765652</v>
      </c>
      <c r="AT154" s="432"/>
      <c r="AV154" s="74"/>
      <c r="AW154" s="69">
        <f t="shared" si="118"/>
        <v>4.0611121879677752</v>
      </c>
      <c r="AY154" s="186"/>
      <c r="AZ154" s="56">
        <f t="shared" ref="AZ154" si="138">+AZ153</f>
        <v>0.98810515522330289</v>
      </c>
      <c r="BB154" s="146"/>
      <c r="BC154" s="67">
        <f t="shared" si="120"/>
        <v>1.9762103104466058</v>
      </c>
      <c r="BE154" s="177"/>
      <c r="BF154" s="52">
        <f t="shared" si="121"/>
        <v>998.00927949371896</v>
      </c>
      <c r="BH154" s="179"/>
      <c r="BI154" s="67">
        <f t="shared" ref="BI154" si="139">+BI153</f>
        <v>1183.9426461936102</v>
      </c>
      <c r="BK154" s="186">
        <f t="shared" si="126"/>
        <v>11.294041924202352</v>
      </c>
      <c r="BL154" s="187">
        <f t="shared" si="126"/>
        <v>0.98810515522330289</v>
      </c>
      <c r="BM154" s="56">
        <f t="shared" si="126"/>
        <v>6.3238729934291387</v>
      </c>
      <c r="BO154" s="146">
        <f t="shared" si="127"/>
        <v>24.920012014731697</v>
      </c>
      <c r="BP154" s="182">
        <f t="shared" si="127"/>
        <v>0.98810515522330289</v>
      </c>
      <c r="BQ154" s="67">
        <f t="shared" si="127"/>
        <v>11.728808192500605</v>
      </c>
    </row>
    <row r="155" spans="2:69" ht="11.1" customHeight="1" x14ac:dyDescent="0.15">
      <c r="B155" s="397">
        <v>2019</v>
      </c>
      <c r="C155" s="94">
        <v>43466</v>
      </c>
      <c r="D155" s="103">
        <v>592</v>
      </c>
      <c r="E155" s="103">
        <f t="shared" si="130"/>
        <v>564.94177275077277</v>
      </c>
      <c r="F155" s="105">
        <f>(E155-E154)/E154</f>
        <v>4.9874232986937385E-3</v>
      </c>
      <c r="G155" s="209"/>
      <c r="H155" s="62"/>
      <c r="I155" s="73">
        <f>(1+(($E154-$E$14)/$E$14))*$H$20*0.98</f>
        <v>34.208224229384953</v>
      </c>
      <c r="K155" s="40"/>
      <c r="L155" s="57">
        <f>(1+((E154-$E$14)/$E$14))*K$20*0.98</f>
        <v>48.909162783669466</v>
      </c>
      <c r="N155" s="62"/>
      <c r="O155" s="73">
        <f>(1+((E154-$E$14)/$E$14))*N$20*0.98</f>
        <v>10406721.109308127</v>
      </c>
      <c r="Q155" s="40"/>
      <c r="R155" s="57">
        <f>(1+((E154-$E$14)/$E$14))*Q$20*0.98</f>
        <v>12309676.559717605</v>
      </c>
      <c r="T155" s="209"/>
      <c r="U155" s="209"/>
      <c r="W155" s="149"/>
      <c r="X155" s="149"/>
      <c r="Z155" s="119"/>
      <c r="AA155" s="73">
        <f>Z131*0.98*(1+((E154-$E$129)/$E$129))</f>
        <v>24.84974717060355</v>
      </c>
      <c r="AC155" s="183"/>
      <c r="AD155" s="176">
        <f>AC131*0.98*(1+((E154-$E$129)/$E$129))</f>
        <v>9957085.1474916674</v>
      </c>
      <c r="AF155" s="119"/>
      <c r="AG155" s="73">
        <f>AF131*0.98*(1+((E154-$E$129)/$E$129))</f>
        <v>11.555435726606941</v>
      </c>
      <c r="AI155" s="183"/>
      <c r="AJ155" s="176">
        <f>AI131*0.98*(1+((E154-$E$129)/$E$129))</f>
        <v>4493360.9150439277</v>
      </c>
      <c r="AL155" s="148">
        <f>AL154*(1+F154)*0.98</f>
        <v>64.935801364240973</v>
      </c>
      <c r="AM155" s="73">
        <f>AM154*(1+F154)*0.98</f>
        <v>190.58980917947864</v>
      </c>
      <c r="AO155" s="40"/>
      <c r="AP155" s="172">
        <v>0</v>
      </c>
      <c r="AQ155" s="175">
        <f>AP$20*0.98*(1+((E154-$E$14)/$E$14))</f>
        <v>190.28060448978036</v>
      </c>
      <c r="AS155" s="450">
        <f>AG155+(BF155/66.17)+L155+((0.2006*AG155)*0.1)</f>
        <v>76.127979870305936</v>
      </c>
      <c r="AT155" s="451"/>
      <c r="AV155" s="119"/>
      <c r="AW155" s="73">
        <f>AV131*0.98*(1+((E154-$E$129)/$E$129))</f>
        <v>4.1551041851578763</v>
      </c>
      <c r="AY155" s="183"/>
      <c r="AZ155" s="176">
        <f>AY131*0.98*(1+((E154-$E$129)/$E$129))</f>
        <v>1.0109742542963203</v>
      </c>
      <c r="BB155" s="119"/>
      <c r="BC155" s="178">
        <f>BB131*0.98*(1+((E154-$E$129)/$E$129))</f>
        <v>2.0219485085926405</v>
      </c>
      <c r="BE155" s="128"/>
      <c r="BF155" s="176">
        <f>BE138*0.98*(1+((E154-$E$129)/$E$129))</f>
        <v>1021.1076035616413</v>
      </c>
      <c r="BH155" s="120"/>
      <c r="BI155" s="178">
        <f>BH138*0.98*(1+((E154-$E$129)/$E$129))</f>
        <v>1211.3442861197304</v>
      </c>
      <c r="BK155" s="183">
        <f>11.43*0.98*(1+((E154-$E$129)/$E$129))</f>
        <v>11.555435726606941</v>
      </c>
      <c r="BL155" s="184">
        <f>1*0.98*(1+((E154-$E$129)/$E$129))</f>
        <v>1.0109742542963203</v>
      </c>
      <c r="BM155" s="176">
        <f>6.4*0.98*(1+((E154-$E$129)/$E$129))</f>
        <v>6.4702352274964507</v>
      </c>
      <c r="BO155" s="119">
        <f>21.77*0.98*(1+((E154-$E$129)/$E$129))</f>
        <v>22.00890951603089</v>
      </c>
      <c r="BP155" s="180">
        <f>1*0.98*(1+((E154-$E$129)/$E$129))</f>
        <v>1.0109742542963203</v>
      </c>
      <c r="BQ155" s="178">
        <f>11.87*0.98*(1+((E154-$E$129)/$E$129))</f>
        <v>12.00026439849732</v>
      </c>
    </row>
    <row r="156" spans="2:69" ht="11.1" customHeight="1" x14ac:dyDescent="0.15">
      <c r="B156" s="398"/>
      <c r="C156" s="97">
        <v>43497</v>
      </c>
      <c r="D156" s="98">
        <v>585.77</v>
      </c>
      <c r="E156" s="98">
        <f t="shared" si="130"/>
        <v>568.17843941743945</v>
      </c>
      <c r="F156" s="99">
        <f t="shared" si="131"/>
        <v>5.7292040043471033E-3</v>
      </c>
      <c r="H156" s="64"/>
      <c r="I156" s="69">
        <f>+I155</f>
        <v>34.208224229384953</v>
      </c>
      <c r="K156" s="42"/>
      <c r="L156" s="52">
        <f>+L155</f>
        <v>48.909162783669466</v>
      </c>
      <c r="N156" s="64"/>
      <c r="O156" s="69">
        <f>+O155</f>
        <v>10406721.109308127</v>
      </c>
      <c r="Q156" s="42"/>
      <c r="R156" s="52">
        <f>+R155</f>
        <v>12309676.559717605</v>
      </c>
      <c r="T156" s="149"/>
      <c r="U156" s="149"/>
      <c r="W156" s="149"/>
      <c r="X156" s="149"/>
      <c r="Z156" s="64"/>
      <c r="AA156" s="69">
        <f>+AA155</f>
        <v>24.84974717060355</v>
      </c>
      <c r="AC156" s="125"/>
      <c r="AD156" s="52">
        <f>+AD155</f>
        <v>9957085.1474916674</v>
      </c>
      <c r="AF156" s="64"/>
      <c r="AG156" s="69">
        <f>+AG155</f>
        <v>11.555435726606941</v>
      </c>
      <c r="AI156" s="125"/>
      <c r="AJ156" s="52">
        <f>+AJ155</f>
        <v>4493360.9150439277</v>
      </c>
      <c r="AL156" s="139">
        <f t="shared" ref="AL156:AL161" si="140">AL155*(1+F155)</f>
        <v>65.259663692884331</v>
      </c>
      <c r="AM156" s="248">
        <f t="shared" ref="AM156:AM161" si="141">AM155*(1+F155)</f>
        <v>191.54036123427395</v>
      </c>
      <c r="AO156" s="42"/>
      <c r="AP156" s="153">
        <f>AP155</f>
        <v>0</v>
      </c>
      <c r="AQ156" s="52">
        <f>+AQ155</f>
        <v>190.28060448978036</v>
      </c>
      <c r="AS156" s="402">
        <f t="shared" si="129"/>
        <v>76.127979870305936</v>
      </c>
      <c r="AT156" s="403"/>
      <c r="AV156" s="64"/>
      <c r="AW156" s="69">
        <f>+AW155</f>
        <v>4.1551041851578763</v>
      </c>
      <c r="AY156" s="125"/>
      <c r="AZ156" s="52">
        <f>+AZ155</f>
        <v>1.0109742542963203</v>
      </c>
      <c r="BB156" s="116"/>
      <c r="BC156" s="69">
        <f>+BC155</f>
        <v>2.0219485085926405</v>
      </c>
      <c r="BE156" s="129"/>
      <c r="BF156" s="52">
        <f>+BF155</f>
        <v>1021.1076035616413</v>
      </c>
      <c r="BH156" s="121"/>
      <c r="BI156" s="69">
        <f>+BI155</f>
        <v>1211.3442861197304</v>
      </c>
      <c r="BK156" s="125">
        <f>+BK155</f>
        <v>11.555435726606941</v>
      </c>
      <c r="BL156" s="185">
        <f t="shared" ref="BL156:BM156" si="142">+BL155</f>
        <v>1.0109742542963203</v>
      </c>
      <c r="BM156" s="52">
        <f t="shared" si="142"/>
        <v>6.4702352274964507</v>
      </c>
      <c r="BO156" s="116">
        <f>+BO155</f>
        <v>22.00890951603089</v>
      </c>
      <c r="BP156" s="181">
        <f t="shared" ref="BP156:BQ156" si="143">+BP155</f>
        <v>1.0109742542963203</v>
      </c>
      <c r="BQ156" s="69">
        <f t="shared" si="143"/>
        <v>12.00026439849732</v>
      </c>
    </row>
    <row r="157" spans="2:69" ht="11.1" customHeight="1" x14ac:dyDescent="0.15">
      <c r="B157" s="398"/>
      <c r="C157" s="97">
        <v>43525</v>
      </c>
      <c r="D157" s="98">
        <v>593.88</v>
      </c>
      <c r="E157" s="98">
        <f t="shared" si="130"/>
        <v>570.78843941743935</v>
      </c>
      <c r="F157" s="99">
        <f t="shared" si="131"/>
        <v>4.5936273165802736E-3</v>
      </c>
      <c r="H157" s="64"/>
      <c r="I157" s="69">
        <f t="shared" ref="I157:I161" si="144">+I156</f>
        <v>34.208224229384953</v>
      </c>
      <c r="K157" s="42"/>
      <c r="L157" s="52">
        <f t="shared" ref="L157:L161" si="145">+L156</f>
        <v>48.909162783669466</v>
      </c>
      <c r="N157" s="64"/>
      <c r="O157" s="69">
        <f t="shared" ref="O157:O161" si="146">+O156</f>
        <v>10406721.109308127</v>
      </c>
      <c r="Q157" s="42"/>
      <c r="R157" s="52">
        <f t="shared" ref="R157:R161" si="147">+R156</f>
        <v>12309676.559717605</v>
      </c>
      <c r="T157" s="149"/>
      <c r="U157" s="149"/>
      <c r="W157" s="149"/>
      <c r="X157" s="149"/>
      <c r="Z157" s="64"/>
      <c r="AA157" s="69">
        <f>+AA155</f>
        <v>24.84974717060355</v>
      </c>
      <c r="AC157" s="125"/>
      <c r="AD157" s="52">
        <f>+AD155</f>
        <v>9957085.1474916674</v>
      </c>
      <c r="AF157" s="64"/>
      <c r="AG157" s="69">
        <f t="shared" ref="AG157:AG166" si="148">+AG156</f>
        <v>11.555435726606941</v>
      </c>
      <c r="AI157" s="125"/>
      <c r="AJ157" s="52">
        <f t="shared" ref="AJ157:AJ166" si="149">+AJ156</f>
        <v>4493360.9150439277</v>
      </c>
      <c r="AL157" s="139">
        <f t="shared" si="140"/>
        <v>65.633549619435954</v>
      </c>
      <c r="AM157" s="248">
        <f t="shared" si="141"/>
        <v>192.63773503885142</v>
      </c>
      <c r="AO157" s="42"/>
      <c r="AP157" s="153">
        <f>AP155</f>
        <v>0</v>
      </c>
      <c r="AQ157" s="52">
        <f>+AQ156</f>
        <v>190.28060448978036</v>
      </c>
      <c r="AS157" s="402">
        <f t="shared" si="129"/>
        <v>76.127979870305936</v>
      </c>
      <c r="AT157" s="403"/>
      <c r="AV157" s="64"/>
      <c r="AW157" s="69">
        <f t="shared" ref="AW157:AW166" si="150">+AW156</f>
        <v>4.1551041851578763</v>
      </c>
      <c r="AY157" s="125"/>
      <c r="AZ157" s="52">
        <f t="shared" ref="AZ157:AZ166" si="151">+AZ156</f>
        <v>1.0109742542963203</v>
      </c>
      <c r="BB157" s="116"/>
      <c r="BC157" s="69">
        <f t="shared" ref="BC157:BC166" si="152">+BC156</f>
        <v>2.0219485085926405</v>
      </c>
      <c r="BE157" s="129"/>
      <c r="BF157" s="52">
        <f t="shared" ref="BF157:BF166" si="153">+BF156</f>
        <v>1021.1076035616413</v>
      </c>
      <c r="BH157" s="121"/>
      <c r="BI157" s="69">
        <f t="shared" ref="BI157:BI166" si="154">+BI156</f>
        <v>1211.3442861197304</v>
      </c>
      <c r="BK157" s="125">
        <f>+BK156</f>
        <v>11.555435726606941</v>
      </c>
      <c r="BL157" s="185">
        <f>+BL156</f>
        <v>1.0109742542963203</v>
      </c>
      <c r="BM157" s="52">
        <f>+BM156</f>
        <v>6.4702352274964507</v>
      </c>
      <c r="BO157" s="116">
        <f>+BO156</f>
        <v>22.00890951603089</v>
      </c>
      <c r="BP157" s="181">
        <f>+BP156</f>
        <v>1.0109742542963203</v>
      </c>
      <c r="BQ157" s="69">
        <f>+BQ156</f>
        <v>12.00026439849732</v>
      </c>
    </row>
    <row r="158" spans="2:69" ht="11.1" customHeight="1" x14ac:dyDescent="0.15">
      <c r="B158" s="398"/>
      <c r="C158" s="97">
        <v>43556</v>
      </c>
      <c r="D158" s="98">
        <v>600.54532623189539</v>
      </c>
      <c r="E158" s="98">
        <f t="shared" si="130"/>
        <v>574.52760608410597</v>
      </c>
      <c r="F158" s="99">
        <f t="shared" si="131"/>
        <v>6.5508801658332545E-3</v>
      </c>
      <c r="H158" s="64"/>
      <c r="I158" s="69">
        <f t="shared" si="144"/>
        <v>34.208224229384953</v>
      </c>
      <c r="K158" s="42"/>
      <c r="L158" s="52">
        <f t="shared" si="145"/>
        <v>48.909162783669466</v>
      </c>
      <c r="N158" s="64"/>
      <c r="O158" s="69">
        <f t="shared" si="146"/>
        <v>10406721.109308127</v>
      </c>
      <c r="Q158" s="42"/>
      <c r="R158" s="52">
        <f t="shared" si="147"/>
        <v>12309676.559717605</v>
      </c>
      <c r="T158" s="149"/>
      <c r="U158" s="149"/>
      <c r="W158" s="149"/>
      <c r="X158" s="149"/>
      <c r="Z158" s="64"/>
      <c r="AA158" s="69">
        <f>+AA155</f>
        <v>24.84974717060355</v>
      </c>
      <c r="AC158" s="125"/>
      <c r="AD158" s="52">
        <f>+AD155</f>
        <v>9957085.1474916674</v>
      </c>
      <c r="AF158" s="64"/>
      <c r="AG158" s="69">
        <f t="shared" si="148"/>
        <v>11.555435726606941</v>
      </c>
      <c r="AI158" s="125"/>
      <c r="AJ158" s="52">
        <f t="shared" si="149"/>
        <v>4493360.9150439277</v>
      </c>
      <c r="AL158" s="139">
        <f t="shared" si="140"/>
        <v>65.935045685851918</v>
      </c>
      <c r="AM158" s="248">
        <f t="shared" si="141"/>
        <v>193.52264100073003</v>
      </c>
      <c r="AO158" s="42"/>
      <c r="AP158" s="153">
        <f>AP155</f>
        <v>0</v>
      </c>
      <c r="AQ158" s="52">
        <f t="shared" ref="AQ158:AQ161" si="155">+AQ157</f>
        <v>190.28060448978036</v>
      </c>
      <c r="AS158" s="402">
        <f t="shared" si="129"/>
        <v>76.127979870305936</v>
      </c>
      <c r="AT158" s="403"/>
      <c r="AV158" s="64"/>
      <c r="AW158" s="69">
        <f t="shared" si="150"/>
        <v>4.1551041851578763</v>
      </c>
      <c r="AY158" s="125"/>
      <c r="AZ158" s="52">
        <f t="shared" si="151"/>
        <v>1.0109742542963203</v>
      </c>
      <c r="BB158" s="116"/>
      <c r="BC158" s="69">
        <f t="shared" si="152"/>
        <v>2.0219485085926405</v>
      </c>
      <c r="BE158" s="129"/>
      <c r="BF158" s="52">
        <f t="shared" si="153"/>
        <v>1021.1076035616413</v>
      </c>
      <c r="BH158" s="121"/>
      <c r="BI158" s="69">
        <f t="shared" si="154"/>
        <v>1211.3442861197304</v>
      </c>
      <c r="BK158" s="125">
        <f t="shared" ref="BK158:BM158" si="156">+BK157</f>
        <v>11.555435726606941</v>
      </c>
      <c r="BL158" s="185">
        <f t="shared" si="156"/>
        <v>1.0109742542963203</v>
      </c>
      <c r="BM158" s="52">
        <f t="shared" si="156"/>
        <v>6.4702352274964507</v>
      </c>
      <c r="BO158" s="116">
        <f t="shared" ref="BO158:BQ158" si="157">+BO157</f>
        <v>22.00890951603089</v>
      </c>
      <c r="BP158" s="181">
        <f t="shared" si="157"/>
        <v>1.0109742542963203</v>
      </c>
      <c r="BQ158" s="69">
        <f t="shared" si="157"/>
        <v>12.00026439849732</v>
      </c>
    </row>
    <row r="159" spans="2:69" ht="11.1" customHeight="1" x14ac:dyDescent="0.15">
      <c r="B159" s="398"/>
      <c r="C159" s="97">
        <v>43586</v>
      </c>
      <c r="D159" s="98">
        <v>610.43933213705111</v>
      </c>
      <c r="E159" s="98">
        <f t="shared" si="130"/>
        <v>578.78638327009742</v>
      </c>
      <c r="F159" s="99">
        <f t="shared" si="131"/>
        <v>7.4126589234216871E-3</v>
      </c>
      <c r="H159" s="64"/>
      <c r="I159" s="69">
        <f t="shared" si="144"/>
        <v>34.208224229384953</v>
      </c>
      <c r="K159" s="42"/>
      <c r="L159" s="52">
        <f t="shared" si="145"/>
        <v>48.909162783669466</v>
      </c>
      <c r="N159" s="64"/>
      <c r="O159" s="69">
        <f t="shared" si="146"/>
        <v>10406721.109308127</v>
      </c>
      <c r="Q159" s="42"/>
      <c r="R159" s="52">
        <f t="shared" si="147"/>
        <v>12309676.559717605</v>
      </c>
      <c r="T159" s="149"/>
      <c r="U159" s="149"/>
      <c r="W159" s="149"/>
      <c r="X159" s="149"/>
      <c r="Z159" s="64"/>
      <c r="AA159" s="69">
        <f>+AA155</f>
        <v>24.84974717060355</v>
      </c>
      <c r="AC159" s="125"/>
      <c r="AD159" s="52">
        <f>+AD155</f>
        <v>9957085.1474916674</v>
      </c>
      <c r="AF159" s="64"/>
      <c r="AG159" s="69">
        <f t="shared" si="148"/>
        <v>11.555435726606941</v>
      </c>
      <c r="AI159" s="125"/>
      <c r="AJ159" s="52">
        <f t="shared" si="149"/>
        <v>4493360.9150439277</v>
      </c>
      <c r="AL159" s="139">
        <f t="shared" si="140"/>
        <v>66.366978268868664</v>
      </c>
      <c r="AM159" s="248">
        <f t="shared" si="141"/>
        <v>194.79038463130138</v>
      </c>
      <c r="AO159" s="42"/>
      <c r="AP159" s="153">
        <f>AP155</f>
        <v>0</v>
      </c>
      <c r="AQ159" s="52">
        <f t="shared" si="155"/>
        <v>190.28060448978036</v>
      </c>
      <c r="AS159" s="402">
        <f t="shared" si="129"/>
        <v>76.127979870305936</v>
      </c>
      <c r="AT159" s="403"/>
      <c r="AV159" s="64"/>
      <c r="AW159" s="69">
        <f t="shared" si="150"/>
        <v>4.1551041851578763</v>
      </c>
      <c r="AY159" s="125"/>
      <c r="AZ159" s="52">
        <f t="shared" si="151"/>
        <v>1.0109742542963203</v>
      </c>
      <c r="BB159" s="116"/>
      <c r="BC159" s="69">
        <f t="shared" si="152"/>
        <v>2.0219485085926405</v>
      </c>
      <c r="BE159" s="129"/>
      <c r="BF159" s="52">
        <f t="shared" si="153"/>
        <v>1021.1076035616413</v>
      </c>
      <c r="BH159" s="121"/>
      <c r="BI159" s="69">
        <f t="shared" si="154"/>
        <v>1211.3442861197304</v>
      </c>
      <c r="BK159" s="125">
        <f t="shared" ref="BK159:BM159" si="158">+BK158</f>
        <v>11.555435726606941</v>
      </c>
      <c r="BL159" s="185">
        <f t="shared" si="158"/>
        <v>1.0109742542963203</v>
      </c>
      <c r="BM159" s="52">
        <f t="shared" si="158"/>
        <v>6.4702352274964507</v>
      </c>
      <c r="BO159" s="116">
        <f t="shared" ref="BO159:BQ159" si="159">+BO158</f>
        <v>22.00890951603089</v>
      </c>
      <c r="BP159" s="181">
        <f t="shared" si="159"/>
        <v>1.0109742542963203</v>
      </c>
      <c r="BQ159" s="69">
        <f t="shared" si="159"/>
        <v>12.00026439849732</v>
      </c>
    </row>
    <row r="160" spans="2:69" ht="11.1" customHeight="1" x14ac:dyDescent="0.15">
      <c r="B160" s="398"/>
      <c r="C160" s="97">
        <v>43617</v>
      </c>
      <c r="D160" s="98">
        <v>599.06808064290465</v>
      </c>
      <c r="E160" s="98">
        <f t="shared" ref="E160" si="160">AVERAGE(D148:D159)</f>
        <v>583.28216094818492</v>
      </c>
      <c r="F160" s="99">
        <f t="shared" si="131"/>
        <v>7.7675940693122687E-3</v>
      </c>
      <c r="H160" s="64"/>
      <c r="I160" s="69">
        <f t="shared" si="144"/>
        <v>34.208224229384953</v>
      </c>
      <c r="K160" s="42"/>
      <c r="L160" s="52">
        <f t="shared" si="145"/>
        <v>48.909162783669466</v>
      </c>
      <c r="N160" s="64"/>
      <c r="O160" s="69">
        <f t="shared" si="146"/>
        <v>10406721.109308127</v>
      </c>
      <c r="Q160" s="42"/>
      <c r="R160" s="52">
        <f t="shared" si="147"/>
        <v>12309676.559717605</v>
      </c>
      <c r="T160" s="149"/>
      <c r="U160" s="149"/>
      <c r="W160" s="149"/>
      <c r="X160" s="149"/>
      <c r="Z160" s="64"/>
      <c r="AA160" s="69">
        <f>+AA155</f>
        <v>24.84974717060355</v>
      </c>
      <c r="AC160" s="125"/>
      <c r="AD160" s="52">
        <f>+AD155</f>
        <v>9957085.1474916674</v>
      </c>
      <c r="AF160" s="64"/>
      <c r="AG160" s="69">
        <f t="shared" si="148"/>
        <v>11.555435726606941</v>
      </c>
      <c r="AI160" s="125"/>
      <c r="AJ160" s="52">
        <f t="shared" si="149"/>
        <v>4493360.9150439277</v>
      </c>
      <c r="AL160" s="139">
        <f t="shared" si="140"/>
        <v>66.858934042553912</v>
      </c>
      <c r="AM160" s="248">
        <f t="shared" si="141"/>
        <v>196.23429931413531</v>
      </c>
      <c r="AO160" s="42"/>
      <c r="AP160" s="153">
        <f t="shared" ref="AP160:AP161" si="161">AP156</f>
        <v>0</v>
      </c>
      <c r="AQ160" s="52">
        <f t="shared" si="155"/>
        <v>190.28060448978036</v>
      </c>
      <c r="AS160" s="402">
        <f t="shared" si="129"/>
        <v>76.127979870305936</v>
      </c>
      <c r="AT160" s="403"/>
      <c r="AV160" s="64"/>
      <c r="AW160" s="69">
        <f t="shared" si="150"/>
        <v>4.1551041851578763</v>
      </c>
      <c r="AY160" s="125"/>
      <c r="AZ160" s="52">
        <f t="shared" si="151"/>
        <v>1.0109742542963203</v>
      </c>
      <c r="BB160" s="116"/>
      <c r="BC160" s="69">
        <f t="shared" si="152"/>
        <v>2.0219485085926405</v>
      </c>
      <c r="BE160" s="129"/>
      <c r="BF160" s="52">
        <f t="shared" si="153"/>
        <v>1021.1076035616413</v>
      </c>
      <c r="BH160" s="121"/>
      <c r="BI160" s="69">
        <f t="shared" si="154"/>
        <v>1211.3442861197304</v>
      </c>
      <c r="BK160" s="125">
        <f t="shared" ref="BK160:BM160" si="162">+BK159</f>
        <v>11.555435726606941</v>
      </c>
      <c r="BL160" s="185">
        <f t="shared" si="162"/>
        <v>1.0109742542963203</v>
      </c>
      <c r="BM160" s="52">
        <f t="shared" si="162"/>
        <v>6.4702352274964507</v>
      </c>
      <c r="BO160" s="116">
        <f t="shared" ref="BO160:BQ160" si="163">+BO159</f>
        <v>22.00890951603089</v>
      </c>
      <c r="BP160" s="181">
        <f t="shared" si="163"/>
        <v>1.0109742542963203</v>
      </c>
      <c r="BQ160" s="69">
        <f t="shared" si="163"/>
        <v>12.00026439849732</v>
      </c>
    </row>
    <row r="161" spans="2:69" ht="11.1" customHeight="1" thickBot="1" x14ac:dyDescent="0.2">
      <c r="B161" s="398"/>
      <c r="C161" s="97">
        <v>43647</v>
      </c>
      <c r="D161" s="98">
        <v>608.3756860463385</v>
      </c>
      <c r="E161" s="98">
        <f>AVERAGE(D149:D160)</f>
        <v>586.48866766842696</v>
      </c>
      <c r="F161" s="99">
        <f t="shared" si="131"/>
        <v>5.4973509133718866E-3</v>
      </c>
      <c r="H161" s="64"/>
      <c r="I161" s="69">
        <f t="shared" si="144"/>
        <v>34.208224229384953</v>
      </c>
      <c r="K161" s="42"/>
      <c r="L161" s="52">
        <f t="shared" si="145"/>
        <v>48.909162783669466</v>
      </c>
      <c r="N161" s="64"/>
      <c r="O161" s="69">
        <f t="shared" si="146"/>
        <v>10406721.109308127</v>
      </c>
      <c r="Q161" s="42"/>
      <c r="R161" s="52">
        <f t="shared" si="147"/>
        <v>12309676.559717605</v>
      </c>
      <c r="T161" s="149"/>
      <c r="U161" s="149"/>
      <c r="W161" s="149"/>
      <c r="X161" s="149"/>
      <c r="Z161" s="64"/>
      <c r="AA161" s="69">
        <f>+AA155</f>
        <v>24.84974717060355</v>
      </c>
      <c r="AC161" s="125"/>
      <c r="AD161" s="52">
        <f>+AD155</f>
        <v>9957085.1474916674</v>
      </c>
      <c r="AF161" s="64"/>
      <c r="AG161" s="69">
        <f t="shared" si="148"/>
        <v>11.555435726606941</v>
      </c>
      <c r="AI161" s="125"/>
      <c r="AJ161" s="52">
        <f t="shared" si="149"/>
        <v>4493360.9150439277</v>
      </c>
      <c r="AL161" s="139">
        <f t="shared" si="140"/>
        <v>67.378267102103393</v>
      </c>
      <c r="AM161" s="248">
        <f t="shared" si="141"/>
        <v>197.75856769368343</v>
      </c>
      <c r="AO161" s="42"/>
      <c r="AP161" s="153">
        <f t="shared" si="161"/>
        <v>0</v>
      </c>
      <c r="AQ161" s="52">
        <f t="shared" si="155"/>
        <v>190.28060448978036</v>
      </c>
      <c r="AS161" s="402">
        <f t="shared" si="129"/>
        <v>76.127979870305936</v>
      </c>
      <c r="AT161" s="403"/>
      <c r="AV161" s="64"/>
      <c r="AW161" s="69">
        <f t="shared" si="150"/>
        <v>4.1551041851578763</v>
      </c>
      <c r="AY161" s="125"/>
      <c r="AZ161" s="52">
        <f t="shared" si="151"/>
        <v>1.0109742542963203</v>
      </c>
      <c r="BB161" s="116"/>
      <c r="BC161" s="69">
        <f t="shared" si="152"/>
        <v>2.0219485085926405</v>
      </c>
      <c r="BE161" s="129"/>
      <c r="BF161" s="52">
        <f t="shared" si="153"/>
        <v>1021.1076035616413</v>
      </c>
      <c r="BH161" s="121"/>
      <c r="BI161" s="69">
        <f t="shared" si="154"/>
        <v>1211.3442861197304</v>
      </c>
      <c r="BK161" s="125">
        <f t="shared" ref="BK161:BM161" si="164">+BK160</f>
        <v>11.555435726606941</v>
      </c>
      <c r="BL161" s="185">
        <f t="shared" si="164"/>
        <v>1.0109742542963203</v>
      </c>
      <c r="BM161" s="52">
        <f t="shared" si="164"/>
        <v>6.4702352274964507</v>
      </c>
      <c r="BO161" s="116">
        <f t="shared" ref="BO161:BQ161" si="165">+BO160</f>
        <v>22.00890951603089</v>
      </c>
      <c r="BP161" s="181">
        <f t="shared" si="165"/>
        <v>1.0109742542963203</v>
      </c>
      <c r="BQ161" s="69">
        <f t="shared" si="165"/>
        <v>12.00026439849732</v>
      </c>
    </row>
    <row r="162" spans="2:69" ht="11.1" customHeight="1" x14ac:dyDescent="0.15">
      <c r="B162" s="398"/>
      <c r="C162" s="97">
        <v>43678</v>
      </c>
      <c r="D162" s="98">
        <v>618.87728878374946</v>
      </c>
      <c r="E162" s="98">
        <f t="shared" ref="E162:E165" si="166">AVERAGE(D150:D161)</f>
        <v>590.70796088342161</v>
      </c>
      <c r="F162" s="99">
        <f t="shared" si="131"/>
        <v>7.1941598322237989E-3</v>
      </c>
      <c r="H162" s="192"/>
      <c r="I162" s="193"/>
      <c r="K162" s="192"/>
      <c r="L162" s="193"/>
      <c r="N162" s="192"/>
      <c r="O162" s="193"/>
      <c r="Q162" s="192"/>
      <c r="R162" s="193"/>
      <c r="T162" s="235">
        <v>34.21</v>
      </c>
      <c r="U162" s="236">
        <v>34.21</v>
      </c>
      <c r="W162" s="238">
        <v>10406721.109999999</v>
      </c>
      <c r="X162" s="239">
        <v>10406721.109999999</v>
      </c>
      <c r="Z162" s="64"/>
      <c r="AA162" s="69">
        <f>+AA155</f>
        <v>24.84974717060355</v>
      </c>
      <c r="AC162" s="125"/>
      <c r="AD162" s="52">
        <f>+AD155</f>
        <v>9957085.1474916674</v>
      </c>
      <c r="AF162" s="64"/>
      <c r="AG162" s="69">
        <f t="shared" si="148"/>
        <v>11.555435726606941</v>
      </c>
      <c r="AI162" s="125"/>
      <c r="AJ162" s="52">
        <f t="shared" si="149"/>
        <v>4493360.9150439277</v>
      </c>
      <c r="AL162" s="192"/>
      <c r="AM162" s="193"/>
      <c r="AO162" s="192"/>
      <c r="AP162" s="198"/>
      <c r="AQ162" s="252"/>
      <c r="AS162" s="438">
        <f>AG162+(BF162/66.17)+U162+((0.2006*AG162)*0.1)</f>
        <v>61.428817086636485</v>
      </c>
      <c r="AT162" s="439"/>
      <c r="AV162" s="64"/>
      <c r="AW162" s="69">
        <f t="shared" si="150"/>
        <v>4.1551041851578763</v>
      </c>
      <c r="AY162" s="125"/>
      <c r="AZ162" s="52">
        <f t="shared" si="151"/>
        <v>1.0109742542963203</v>
      </c>
      <c r="BB162" s="116"/>
      <c r="BC162" s="69">
        <f t="shared" si="152"/>
        <v>2.0219485085926405</v>
      </c>
      <c r="BE162" s="129"/>
      <c r="BF162" s="52">
        <f t="shared" si="153"/>
        <v>1021.1076035616413</v>
      </c>
      <c r="BH162" s="121"/>
      <c r="BI162" s="69">
        <f t="shared" si="154"/>
        <v>1211.3442861197304</v>
      </c>
      <c r="BK162" s="125">
        <f t="shared" ref="BK162:BM162" si="167">+BK161</f>
        <v>11.555435726606941</v>
      </c>
      <c r="BL162" s="185">
        <f t="shared" si="167"/>
        <v>1.0109742542963203</v>
      </c>
      <c r="BM162" s="52">
        <f t="shared" si="167"/>
        <v>6.4702352274964507</v>
      </c>
      <c r="BO162" s="116">
        <f t="shared" ref="BO162:BQ162" si="168">+BO161</f>
        <v>22.00890951603089</v>
      </c>
      <c r="BP162" s="181">
        <f t="shared" si="168"/>
        <v>1.0109742542963203</v>
      </c>
      <c r="BQ162" s="69">
        <f t="shared" si="168"/>
        <v>12.00026439849732</v>
      </c>
    </row>
    <row r="163" spans="2:69" ht="11.1" customHeight="1" x14ac:dyDescent="0.15">
      <c r="B163" s="398"/>
      <c r="C163" s="97">
        <v>43709</v>
      </c>
      <c r="D163" s="98">
        <v>622.31257961948018</v>
      </c>
      <c r="E163" s="98">
        <f t="shared" si="166"/>
        <v>594.85975428040877</v>
      </c>
      <c r="F163" s="99">
        <f t="shared" si="131"/>
        <v>7.0285042219136963E-3</v>
      </c>
      <c r="H163" s="192"/>
      <c r="I163" s="193"/>
      <c r="K163" s="192"/>
      <c r="L163" s="210"/>
      <c r="N163" s="192"/>
      <c r="O163" s="193"/>
      <c r="Q163" s="192"/>
      <c r="R163" s="193"/>
      <c r="T163" s="64"/>
      <c r="U163" s="225">
        <v>34.21</v>
      </c>
      <c r="W163" s="42"/>
      <c r="X163" s="240">
        <v>10406721.109999999</v>
      </c>
      <c r="Z163" s="64"/>
      <c r="AA163" s="69">
        <f>+AA155</f>
        <v>24.84974717060355</v>
      </c>
      <c r="AC163" s="125"/>
      <c r="AD163" s="52">
        <f>+AD155</f>
        <v>9957085.1474916674</v>
      </c>
      <c r="AF163" s="64"/>
      <c r="AG163" s="69">
        <f t="shared" si="148"/>
        <v>11.555435726606941</v>
      </c>
      <c r="AI163" s="125"/>
      <c r="AJ163" s="52">
        <f t="shared" si="149"/>
        <v>4493360.9150439277</v>
      </c>
      <c r="AL163" s="195"/>
      <c r="AM163" s="249"/>
      <c r="AO163" s="192"/>
      <c r="AP163" s="196"/>
      <c r="AQ163" s="193"/>
      <c r="AS163" s="402">
        <f>AG163+(BF163/66.17)+U163+((0.2006*AG163)*0.1)</f>
        <v>61.428817086636485</v>
      </c>
      <c r="AT163" s="403"/>
      <c r="AV163" s="64"/>
      <c r="AW163" s="69">
        <f t="shared" si="150"/>
        <v>4.1551041851578763</v>
      </c>
      <c r="AY163" s="125"/>
      <c r="AZ163" s="52">
        <f t="shared" si="151"/>
        <v>1.0109742542963203</v>
      </c>
      <c r="BB163" s="116"/>
      <c r="BC163" s="69">
        <f t="shared" si="152"/>
        <v>2.0219485085926405</v>
      </c>
      <c r="BE163" s="129"/>
      <c r="BF163" s="52">
        <f t="shared" si="153"/>
        <v>1021.1076035616413</v>
      </c>
      <c r="BH163" s="121"/>
      <c r="BI163" s="69">
        <f t="shared" si="154"/>
        <v>1211.3442861197304</v>
      </c>
      <c r="BK163" s="125">
        <f>+BK162</f>
        <v>11.555435726606941</v>
      </c>
      <c r="BL163" s="185">
        <f>+BL162</f>
        <v>1.0109742542963203</v>
      </c>
      <c r="BM163" s="52">
        <f>+BM162</f>
        <v>6.4702352274964507</v>
      </c>
      <c r="BO163" s="116">
        <f>+BO162</f>
        <v>22.00890951603089</v>
      </c>
      <c r="BP163" s="181">
        <f>+BP162</f>
        <v>1.0109742542963203</v>
      </c>
      <c r="BQ163" s="69">
        <f>+BQ162</f>
        <v>12.00026439849732</v>
      </c>
    </row>
    <row r="164" spans="2:69" ht="11.1" customHeight="1" x14ac:dyDescent="0.15">
      <c r="B164" s="398"/>
      <c r="C164" s="97">
        <v>43739</v>
      </c>
      <c r="D164" s="98">
        <v>618.06308155652584</v>
      </c>
      <c r="E164" s="98">
        <f t="shared" si="166"/>
        <v>599.44486097585047</v>
      </c>
      <c r="F164" s="99">
        <f t="shared" si="131"/>
        <v>7.7078784746300935E-3</v>
      </c>
      <c r="H164" s="192"/>
      <c r="I164" s="193"/>
      <c r="K164" s="192"/>
      <c r="L164" s="210"/>
      <c r="N164" s="192"/>
      <c r="O164" s="193"/>
      <c r="Q164" s="192"/>
      <c r="R164" s="193"/>
      <c r="T164" s="64"/>
      <c r="U164" s="225">
        <v>34.21</v>
      </c>
      <c r="W164" s="42"/>
      <c r="X164" s="240">
        <v>10406721.109999999</v>
      </c>
      <c r="Z164" s="64"/>
      <c r="AA164" s="69">
        <f>+AA155</f>
        <v>24.84974717060355</v>
      </c>
      <c r="AC164" s="125"/>
      <c r="AD164" s="52">
        <f>+AD155</f>
        <v>9957085.1474916674</v>
      </c>
      <c r="AF164" s="64"/>
      <c r="AG164" s="69">
        <f t="shared" si="148"/>
        <v>11.555435726606941</v>
      </c>
      <c r="AI164" s="125"/>
      <c r="AJ164" s="52">
        <f t="shared" si="149"/>
        <v>4493360.9150439277</v>
      </c>
      <c r="AL164" s="195"/>
      <c r="AM164" s="249"/>
      <c r="AO164" s="192"/>
      <c r="AP164" s="196"/>
      <c r="AQ164" s="193"/>
      <c r="AS164" s="402">
        <f>AG164+(BF164/66.17)+U164+((0.2006*AG164)*0.1)</f>
        <v>61.428817086636485</v>
      </c>
      <c r="AT164" s="403"/>
      <c r="AV164" s="64"/>
      <c r="AW164" s="69">
        <f t="shared" si="150"/>
        <v>4.1551041851578763</v>
      </c>
      <c r="AY164" s="125"/>
      <c r="AZ164" s="52">
        <f>+AZ163</f>
        <v>1.0109742542963203</v>
      </c>
      <c r="BB164" s="116"/>
      <c r="BC164" s="69">
        <f>+BC163</f>
        <v>2.0219485085926405</v>
      </c>
      <c r="BE164" s="129"/>
      <c r="BF164" s="52">
        <f t="shared" si="153"/>
        <v>1021.1076035616413</v>
      </c>
      <c r="BH164" s="121"/>
      <c r="BI164" s="69">
        <f t="shared" si="154"/>
        <v>1211.3442861197304</v>
      </c>
      <c r="BK164" s="125">
        <f t="shared" ref="BK164:BM164" si="169">+BK163</f>
        <v>11.555435726606941</v>
      </c>
      <c r="BL164" s="185">
        <f t="shared" si="169"/>
        <v>1.0109742542963203</v>
      </c>
      <c r="BM164" s="52">
        <f t="shared" si="169"/>
        <v>6.4702352274964507</v>
      </c>
      <c r="BO164" s="116">
        <f t="shared" ref="BO164:BQ164" si="170">+BO163</f>
        <v>22.00890951603089</v>
      </c>
      <c r="BP164" s="181">
        <f t="shared" si="170"/>
        <v>1.0109742542963203</v>
      </c>
      <c r="BQ164" s="69">
        <f t="shared" si="170"/>
        <v>12.00026439849732</v>
      </c>
    </row>
    <row r="165" spans="2:69" ht="11.1" customHeight="1" x14ac:dyDescent="0.15">
      <c r="B165" s="398"/>
      <c r="C165" s="97">
        <v>43770</v>
      </c>
      <c r="D165" s="98">
        <v>626.71435549323439</v>
      </c>
      <c r="E165" s="98">
        <f t="shared" si="166"/>
        <v>602.17006259313189</v>
      </c>
      <c r="F165" s="99">
        <f t="shared" si="131"/>
        <v>4.5462089921748487E-3</v>
      </c>
      <c r="H165" s="192"/>
      <c r="I165" s="193"/>
      <c r="K165" s="192"/>
      <c r="L165" s="210"/>
      <c r="N165" s="192"/>
      <c r="O165" s="193"/>
      <c r="Q165" s="192"/>
      <c r="R165" s="193"/>
      <c r="T165" s="64"/>
      <c r="U165" s="225">
        <v>34.21</v>
      </c>
      <c r="W165" s="42"/>
      <c r="X165" s="240">
        <v>10406721.109999999</v>
      </c>
      <c r="Z165" s="64"/>
      <c r="AA165" s="69">
        <f>+AA155</f>
        <v>24.84974717060355</v>
      </c>
      <c r="AC165" s="125"/>
      <c r="AD165" s="52">
        <f>+AD155</f>
        <v>9957085.1474916674</v>
      </c>
      <c r="AF165" s="64"/>
      <c r="AG165" s="69">
        <f t="shared" si="148"/>
        <v>11.555435726606941</v>
      </c>
      <c r="AI165" s="125"/>
      <c r="AJ165" s="52">
        <f t="shared" si="149"/>
        <v>4493360.9150439277</v>
      </c>
      <c r="AL165" s="195"/>
      <c r="AM165" s="249"/>
      <c r="AO165" s="192"/>
      <c r="AP165" s="196"/>
      <c r="AQ165" s="193"/>
      <c r="AS165" s="402">
        <f>AG165+(BF165/66.17)+U165+((0.2006*AG165)*0.1)</f>
        <v>61.428817086636485</v>
      </c>
      <c r="AT165" s="403"/>
      <c r="AV165" s="64"/>
      <c r="AW165" s="69">
        <f t="shared" si="150"/>
        <v>4.1551041851578763</v>
      </c>
      <c r="AY165" s="125"/>
      <c r="AZ165" s="52">
        <f t="shared" si="151"/>
        <v>1.0109742542963203</v>
      </c>
      <c r="BB165" s="116"/>
      <c r="BC165" s="69">
        <f t="shared" si="152"/>
        <v>2.0219485085926405</v>
      </c>
      <c r="BE165" s="129"/>
      <c r="BF165" s="52">
        <f t="shared" si="153"/>
        <v>1021.1076035616413</v>
      </c>
      <c r="BH165" s="121"/>
      <c r="BI165" s="69">
        <f t="shared" si="154"/>
        <v>1211.3442861197304</v>
      </c>
      <c r="BK165" s="125">
        <f t="shared" ref="BK165:BM165" si="171">+BK164</f>
        <v>11.555435726606941</v>
      </c>
      <c r="BL165" s="185">
        <f t="shared" si="171"/>
        <v>1.0109742542963203</v>
      </c>
      <c r="BM165" s="52">
        <f t="shared" si="171"/>
        <v>6.4702352274964507</v>
      </c>
      <c r="BO165" s="116">
        <f t="shared" ref="BO165:BQ165" si="172">+BO164</f>
        <v>22.00890951603089</v>
      </c>
      <c r="BP165" s="181">
        <f t="shared" si="172"/>
        <v>1.0109742542963203</v>
      </c>
      <c r="BQ165" s="69">
        <f t="shared" si="172"/>
        <v>12.00026439849732</v>
      </c>
    </row>
    <row r="166" spans="2:69" ht="11.1" customHeight="1" thickBot="1" x14ac:dyDescent="0.2">
      <c r="B166" s="399"/>
      <c r="C166" s="100">
        <v>43800</v>
      </c>
      <c r="D166" s="106">
        <v>609.83714398619645</v>
      </c>
      <c r="E166" s="106">
        <f>AVERAGE(D154:D165)</f>
        <v>605.38702690660807</v>
      </c>
      <c r="F166" s="107">
        <f t="shared" ref="F166:F173" si="173">(E166-E165)/E165</f>
        <v>5.3422853664011997E-3</v>
      </c>
      <c r="H166" s="217"/>
      <c r="I166" s="212"/>
      <c r="K166" s="217"/>
      <c r="L166" s="211"/>
      <c r="N166" s="217"/>
      <c r="O166" s="212"/>
      <c r="Q166" s="217"/>
      <c r="R166" s="212"/>
      <c r="T166" s="74"/>
      <c r="U166" s="237">
        <v>34.21</v>
      </c>
      <c r="W166" s="58"/>
      <c r="X166" s="240">
        <v>10406721.109999999</v>
      </c>
      <c r="Z166" s="74"/>
      <c r="AA166" s="67">
        <f>+AA155</f>
        <v>24.84974717060355</v>
      </c>
      <c r="AC166" s="126"/>
      <c r="AD166" s="56">
        <f>+AD155</f>
        <v>9957085.1474916674</v>
      </c>
      <c r="AF166" s="74"/>
      <c r="AG166" s="67">
        <f t="shared" si="148"/>
        <v>11.555435726606941</v>
      </c>
      <c r="AI166" s="126"/>
      <c r="AJ166" s="56">
        <f t="shared" si="149"/>
        <v>4493360.9150439277</v>
      </c>
      <c r="AL166" s="250"/>
      <c r="AM166" s="251"/>
      <c r="AO166" s="217"/>
      <c r="AP166" s="218"/>
      <c r="AQ166" s="212"/>
      <c r="AS166" s="426">
        <f>AG166+(BF166/66.17)+U166+((0.2006*AG166)*0.1)</f>
        <v>61.428817086636485</v>
      </c>
      <c r="AT166" s="427"/>
      <c r="AV166" s="74"/>
      <c r="AW166" s="69">
        <f t="shared" si="150"/>
        <v>4.1551041851578763</v>
      </c>
      <c r="AY166" s="186"/>
      <c r="AZ166" s="56">
        <f t="shared" si="151"/>
        <v>1.0109742542963203</v>
      </c>
      <c r="BB166" s="146"/>
      <c r="BC166" s="67">
        <f t="shared" si="152"/>
        <v>2.0219485085926405</v>
      </c>
      <c r="BE166" s="177"/>
      <c r="BF166" s="52">
        <f t="shared" si="153"/>
        <v>1021.1076035616413</v>
      </c>
      <c r="BH166" s="179"/>
      <c r="BI166" s="67">
        <f t="shared" si="154"/>
        <v>1211.3442861197304</v>
      </c>
      <c r="BK166" s="186">
        <f t="shared" ref="BK166:BM166" si="174">+BK165</f>
        <v>11.555435726606941</v>
      </c>
      <c r="BL166" s="187">
        <f t="shared" si="174"/>
        <v>1.0109742542963203</v>
      </c>
      <c r="BM166" s="56">
        <f t="shared" si="174"/>
        <v>6.4702352274964507</v>
      </c>
      <c r="BO166" s="146">
        <f t="shared" ref="BO166:BQ166" si="175">+BO165</f>
        <v>22.00890951603089</v>
      </c>
      <c r="BP166" s="182">
        <f t="shared" si="175"/>
        <v>1.0109742542963203</v>
      </c>
      <c r="BQ166" s="67">
        <f t="shared" si="175"/>
        <v>12.00026439849732</v>
      </c>
    </row>
    <row r="167" spans="2:69" ht="11.1" customHeight="1" x14ac:dyDescent="0.15">
      <c r="B167" s="397">
        <v>2020</v>
      </c>
      <c r="C167" s="219">
        <v>43831</v>
      </c>
      <c r="D167" s="103">
        <v>630.23408877574548</v>
      </c>
      <c r="E167" s="103">
        <f>AVERAGE(D155:D166)</f>
        <v>607.15690620811472</v>
      </c>
      <c r="F167" s="105">
        <f t="shared" si="173"/>
        <v>2.9235500974481312E-3</v>
      </c>
      <c r="I167" s="222"/>
      <c r="J167" s="206"/>
      <c r="K167" s="206"/>
      <c r="T167" s="228"/>
      <c r="U167" s="73">
        <f>ROUND(25.79*(1-0.02)*(1+((E166-E155)/E155)),2)</f>
        <v>27.08</v>
      </c>
      <c r="W167" s="220"/>
      <c r="X167" s="57">
        <f>ROUND(7760489.91*(1-0.02)*(1+((E166-E155)/E155)),2)</f>
        <v>8149756.5599999996</v>
      </c>
      <c r="Z167" s="119"/>
      <c r="AA167" s="73">
        <f>Z131*0.98*(1+((E166-$E$129)/$E$129))</f>
        <v>26.761596788759174</v>
      </c>
      <c r="AC167" s="183"/>
      <c r="AD167" s="176">
        <f>AC131*0.98*(1+((E166-$E$129)/$E$129))</f>
        <v>10723147.244883729</v>
      </c>
      <c r="AF167" s="119"/>
      <c r="AG167" s="73">
        <f>AF131*0.98*(1+((E166-$E$129)/$E$129))</f>
        <v>12.444469133259455</v>
      </c>
      <c r="AI167" s="183"/>
      <c r="AJ167" s="176">
        <f>AI131*0.98*(1+((E166-$E$129)/$E$129))</f>
        <v>4839063.8427511593</v>
      </c>
      <c r="AS167" s="400">
        <f>ROUND(AG167+(BF167/66.17)+U167+((AG167*0.2006)*0.1),2)</f>
        <v>56.39</v>
      </c>
      <c r="AT167" s="401"/>
      <c r="AV167" s="119"/>
      <c r="AW167" s="73">
        <f>AV131*0.98*(1+((E166-$E$129)/$E$129))</f>
        <v>4.4747828641904075</v>
      </c>
      <c r="AY167" s="183"/>
      <c r="AZ167" s="176">
        <f>AY131*0.98*(1+((E166-$E$129)/$E$129))</f>
        <v>1.0887549547908535</v>
      </c>
      <c r="BB167" s="119"/>
      <c r="BC167" s="178">
        <f>BB131*0.98*(1+((E166-$E$129)/$E$129))</f>
        <v>2.177509909581707</v>
      </c>
      <c r="BE167" s="128"/>
      <c r="BF167" s="176">
        <f>BE138*(1-0.02)*(1+((E166-$E$129)/$E$129))</f>
        <v>1099.6679272769072</v>
      </c>
      <c r="BH167" s="120"/>
      <c r="BI167" s="178">
        <f>BH138*(1-0.02)*(1+((E166-$E$129)/$E$129))</f>
        <v>1304.5407317404186</v>
      </c>
      <c r="BK167" s="183">
        <f>ROUND(11.43*(1-0.02)*(1+((E166-$E$129)/$E$129)),2)</f>
        <v>12.44</v>
      </c>
      <c r="BL167" s="184">
        <f>ROUND(1*(1-0.02)*(1+((E166-$E$129)/$E$129)),2)</f>
        <v>1.0900000000000001</v>
      </c>
      <c r="BM167" s="176">
        <f>ROUND(6.4*(1-0.02)*(1+((E166-$E$129)/$E$129)),2)</f>
        <v>6.97</v>
      </c>
      <c r="BO167" s="119">
        <f>ROUND(18.33*(1-0.02)*(1+((E166-$E$129)/$E$129)),2)</f>
        <v>19.96</v>
      </c>
      <c r="BP167" s="180">
        <f>ROUND(1*(1-0.02)*(1+((E166-$E$129)/$E$129)),2)</f>
        <v>1.0900000000000001</v>
      </c>
      <c r="BQ167" s="178">
        <f>ROUND(11.87*(1-0.02)*(1+((E166-$E$129)/$E$129)),2)</f>
        <v>12.92</v>
      </c>
    </row>
    <row r="168" spans="2:69" ht="11.1" customHeight="1" x14ac:dyDescent="0.15">
      <c r="B168" s="398"/>
      <c r="C168" s="97">
        <v>43862</v>
      </c>
      <c r="D168" s="98">
        <v>639.1455637303261</v>
      </c>
      <c r="E168" s="98">
        <f t="shared" ref="E168:E177" si="176">AVERAGE(D156:D167)</f>
        <v>610.34308027276006</v>
      </c>
      <c r="F168" s="99">
        <f t="shared" si="173"/>
        <v>5.2476946767253275E-3</v>
      </c>
      <c r="I168" s="206"/>
      <c r="J168" s="206"/>
      <c r="K168" s="206"/>
      <c r="T168" s="64"/>
      <c r="U168" s="226">
        <f>U167</f>
        <v>27.08</v>
      </c>
      <c r="W168" s="42"/>
      <c r="X168" s="52">
        <f>+X167</f>
        <v>8149756.5599999996</v>
      </c>
      <c r="Z168" s="64"/>
      <c r="AA168" s="69">
        <f>+AA167</f>
        <v>26.761596788759174</v>
      </c>
      <c r="AC168" s="125"/>
      <c r="AD168" s="52">
        <f>+AD167</f>
        <v>10723147.244883729</v>
      </c>
      <c r="AF168" s="64"/>
      <c r="AG168" s="69">
        <f>+AG167</f>
        <v>12.444469133259455</v>
      </c>
      <c r="AI168" s="125"/>
      <c r="AJ168" s="234">
        <f>+AJ167</f>
        <v>4839063.8427511593</v>
      </c>
      <c r="AS168" s="402">
        <f t="shared" ref="AS168:AS178" si="177">AS167</f>
        <v>56.39</v>
      </c>
      <c r="AT168" s="403"/>
      <c r="AV168" s="64"/>
      <c r="AW168" s="69">
        <f>+AW167</f>
        <v>4.4747828641904075</v>
      </c>
      <c r="AY168" s="125"/>
      <c r="AZ168" s="52">
        <f>AZ167</f>
        <v>1.0887549547908535</v>
      </c>
      <c r="BB168" s="116"/>
      <c r="BC168" s="69">
        <f>BC167</f>
        <v>2.177509909581707</v>
      </c>
      <c r="BE168" s="129"/>
      <c r="BF168" s="52">
        <f>+BF167</f>
        <v>1099.6679272769072</v>
      </c>
      <c r="BH168" s="121"/>
      <c r="BI168" s="69">
        <f>BI167</f>
        <v>1304.5407317404186</v>
      </c>
      <c r="BK168" s="125">
        <f>BK167</f>
        <v>12.44</v>
      </c>
      <c r="BL168" s="185">
        <f>BL167</f>
        <v>1.0900000000000001</v>
      </c>
      <c r="BM168" s="52">
        <f>BM167</f>
        <v>6.97</v>
      </c>
      <c r="BO168" s="116">
        <f>BO167</f>
        <v>19.96</v>
      </c>
      <c r="BP168" s="181">
        <f>BP167</f>
        <v>1.0900000000000001</v>
      </c>
      <c r="BQ168" s="69">
        <f>BQ167</f>
        <v>12.92</v>
      </c>
    </row>
    <row r="169" spans="2:69" ht="11.1" customHeight="1" x14ac:dyDescent="0.15">
      <c r="B169" s="398"/>
      <c r="C169" s="97">
        <v>43891</v>
      </c>
      <c r="D169" s="98">
        <v>675.31392466356522</v>
      </c>
      <c r="E169" s="98">
        <f t="shared" si="176"/>
        <v>614.79104391695398</v>
      </c>
      <c r="F169" s="99">
        <f t="shared" si="173"/>
        <v>7.2876449130973037E-3</v>
      </c>
      <c r="I169" s="206"/>
      <c r="J169" s="206"/>
      <c r="K169" s="206"/>
      <c r="Q169" s="221"/>
      <c r="T169" s="64"/>
      <c r="U169" s="226">
        <f t="shared" ref="U169:U177" si="178">U168</f>
        <v>27.08</v>
      </c>
      <c r="W169" s="42"/>
      <c r="X169" s="52">
        <f t="shared" ref="X169:X178" si="179">+X168</f>
        <v>8149756.5599999996</v>
      </c>
      <c r="Z169" s="64"/>
      <c r="AA169" s="69">
        <f>+AA167</f>
        <v>26.761596788759174</v>
      </c>
      <c r="AC169" s="125"/>
      <c r="AD169" s="52">
        <f>+AD167</f>
        <v>10723147.244883729</v>
      </c>
      <c r="AF169" s="64"/>
      <c r="AG169" s="69">
        <f>+AG167</f>
        <v>12.444469133259455</v>
      </c>
      <c r="AI169" s="125"/>
      <c r="AJ169" s="52">
        <f>+AJ167</f>
        <v>4839063.8427511593</v>
      </c>
      <c r="AS169" s="402">
        <f t="shared" si="177"/>
        <v>56.39</v>
      </c>
      <c r="AT169" s="403"/>
      <c r="AV169" s="64"/>
      <c r="AW169" s="69">
        <f t="shared" ref="AW169:AW178" si="180">+AW168</f>
        <v>4.4747828641904075</v>
      </c>
      <c r="AY169" s="125"/>
      <c r="AZ169" s="52">
        <f t="shared" ref="AZ169:AZ177" si="181">+AZ168</f>
        <v>1.0887549547908535</v>
      </c>
      <c r="BB169" s="116"/>
      <c r="BC169" s="69">
        <f t="shared" ref="BC169:BC178" si="182">+BC168</f>
        <v>2.177509909581707</v>
      </c>
      <c r="BE169" s="129"/>
      <c r="BF169" s="52">
        <f t="shared" ref="BF169:BF178" si="183">+BF168</f>
        <v>1099.6679272769072</v>
      </c>
      <c r="BH169" s="121"/>
      <c r="BI169" s="69">
        <f t="shared" ref="BI169:BI178" si="184">+BI168</f>
        <v>1304.5407317404186</v>
      </c>
      <c r="BK169" s="125">
        <f>+BK168</f>
        <v>12.44</v>
      </c>
      <c r="BL169" s="185">
        <f>+BL168</f>
        <v>1.0900000000000001</v>
      </c>
      <c r="BM169" s="52">
        <f>+BM168</f>
        <v>6.97</v>
      </c>
      <c r="BO169" s="116">
        <f>+BO168</f>
        <v>19.96</v>
      </c>
      <c r="BP169" s="181">
        <f>+BP168</f>
        <v>1.0900000000000001</v>
      </c>
      <c r="BQ169" s="69">
        <f>+BQ168</f>
        <v>12.92</v>
      </c>
    </row>
    <row r="170" spans="2:69" ht="11.1" customHeight="1" x14ac:dyDescent="0.15">
      <c r="B170" s="398"/>
      <c r="C170" s="97">
        <v>43922</v>
      </c>
      <c r="D170" s="98">
        <v>663.12188483356431</v>
      </c>
      <c r="E170" s="98">
        <f t="shared" si="176"/>
        <v>621.57720430558436</v>
      </c>
      <c r="F170" s="99">
        <f t="shared" si="173"/>
        <v>1.1038157526489688E-2</v>
      </c>
      <c r="I170" s="206"/>
      <c r="J170" s="206"/>
      <c r="K170" s="206"/>
      <c r="T170" s="64"/>
      <c r="U170" s="226">
        <f t="shared" si="178"/>
        <v>27.08</v>
      </c>
      <c r="W170" s="42"/>
      <c r="X170" s="52">
        <f t="shared" si="179"/>
        <v>8149756.5599999996</v>
      </c>
      <c r="Z170" s="64"/>
      <c r="AA170" s="69">
        <f>+AA167</f>
        <v>26.761596788759174</v>
      </c>
      <c r="AC170" s="125"/>
      <c r="AD170" s="52">
        <f>+AD167</f>
        <v>10723147.244883729</v>
      </c>
      <c r="AF170" s="64"/>
      <c r="AG170" s="225">
        <f>+AG167</f>
        <v>12.444469133259455</v>
      </c>
      <c r="AI170" s="125"/>
      <c r="AJ170" s="52">
        <f>+AJ167</f>
        <v>4839063.8427511593</v>
      </c>
      <c r="AS170" s="402">
        <f t="shared" si="177"/>
        <v>56.39</v>
      </c>
      <c r="AT170" s="403"/>
      <c r="AV170" s="64"/>
      <c r="AW170" s="69">
        <f t="shared" si="180"/>
        <v>4.4747828641904075</v>
      </c>
      <c r="AY170" s="125"/>
      <c r="AZ170" s="52">
        <f t="shared" si="181"/>
        <v>1.0887549547908535</v>
      </c>
      <c r="BB170" s="116"/>
      <c r="BC170" s="69">
        <f t="shared" si="182"/>
        <v>2.177509909581707</v>
      </c>
      <c r="BE170" s="129"/>
      <c r="BF170" s="52">
        <f t="shared" si="183"/>
        <v>1099.6679272769072</v>
      </c>
      <c r="BH170" s="121"/>
      <c r="BI170" s="69">
        <f t="shared" si="184"/>
        <v>1304.5407317404186</v>
      </c>
      <c r="BK170" s="125">
        <f t="shared" ref="BK170:BM170" si="185">+BK169</f>
        <v>12.44</v>
      </c>
      <c r="BL170" s="185">
        <f t="shared" si="185"/>
        <v>1.0900000000000001</v>
      </c>
      <c r="BM170" s="52">
        <f t="shared" si="185"/>
        <v>6.97</v>
      </c>
      <c r="BO170" s="116">
        <f t="shared" ref="BO170:BQ170" si="186">+BO169</f>
        <v>19.96</v>
      </c>
      <c r="BP170" s="181">
        <f t="shared" si="186"/>
        <v>1.0900000000000001</v>
      </c>
      <c r="BQ170" s="69">
        <f t="shared" si="186"/>
        <v>12.92</v>
      </c>
    </row>
    <row r="171" spans="2:69" ht="11.1" customHeight="1" x14ac:dyDescent="0.15">
      <c r="B171" s="398"/>
      <c r="C171" s="97">
        <v>43952</v>
      </c>
      <c r="D171" s="98">
        <v>645.87746731167795</v>
      </c>
      <c r="E171" s="98">
        <f t="shared" si="176"/>
        <v>626.79191752239012</v>
      </c>
      <c r="F171" s="99">
        <f t="shared" si="173"/>
        <v>8.3894859410610992E-3</v>
      </c>
      <c r="I171" s="206"/>
      <c r="J171" s="206"/>
      <c r="K171" s="206"/>
      <c r="O171" s="221"/>
      <c r="T171" s="64"/>
      <c r="U171" s="226">
        <f t="shared" si="178"/>
        <v>27.08</v>
      </c>
      <c r="W171" s="42"/>
      <c r="X171" s="52">
        <f t="shared" si="179"/>
        <v>8149756.5599999996</v>
      </c>
      <c r="Z171" s="64"/>
      <c r="AA171" s="69">
        <f>+AA167</f>
        <v>26.761596788759174</v>
      </c>
      <c r="AC171" s="125"/>
      <c r="AD171" s="52">
        <f>+AD167</f>
        <v>10723147.244883729</v>
      </c>
      <c r="AF171" s="64"/>
      <c r="AG171" s="69">
        <f>+AG167</f>
        <v>12.444469133259455</v>
      </c>
      <c r="AI171" s="125"/>
      <c r="AJ171" s="52">
        <f>+AJ167</f>
        <v>4839063.8427511593</v>
      </c>
      <c r="AS171" s="402">
        <f t="shared" si="177"/>
        <v>56.39</v>
      </c>
      <c r="AT171" s="403"/>
      <c r="AV171" s="64"/>
      <c r="AW171" s="69">
        <f t="shared" si="180"/>
        <v>4.4747828641904075</v>
      </c>
      <c r="AY171" s="125"/>
      <c r="AZ171" s="52">
        <f t="shared" si="181"/>
        <v>1.0887549547908535</v>
      </c>
      <c r="BB171" s="116"/>
      <c r="BC171" s="69">
        <f t="shared" si="182"/>
        <v>2.177509909581707</v>
      </c>
      <c r="BE171" s="129"/>
      <c r="BF171" s="52">
        <f t="shared" si="183"/>
        <v>1099.6679272769072</v>
      </c>
      <c r="BH171" s="121"/>
      <c r="BI171" s="69">
        <f t="shared" si="184"/>
        <v>1304.5407317404186</v>
      </c>
      <c r="BK171" s="125">
        <f t="shared" ref="BK171:BM171" si="187">+BK170</f>
        <v>12.44</v>
      </c>
      <c r="BL171" s="185">
        <f t="shared" si="187"/>
        <v>1.0900000000000001</v>
      </c>
      <c r="BM171" s="52">
        <f t="shared" si="187"/>
        <v>6.97</v>
      </c>
      <c r="BO171" s="116">
        <f t="shared" ref="BO171:BQ171" si="188">+BO170</f>
        <v>19.96</v>
      </c>
      <c r="BP171" s="181">
        <f t="shared" si="188"/>
        <v>1.0900000000000001</v>
      </c>
      <c r="BQ171" s="69">
        <f t="shared" si="188"/>
        <v>12.92</v>
      </c>
    </row>
    <row r="172" spans="2:69" ht="11.1" customHeight="1" x14ac:dyDescent="0.15">
      <c r="B172" s="398"/>
      <c r="C172" s="97">
        <v>43983</v>
      </c>
      <c r="D172" s="98">
        <v>648.67171569043091</v>
      </c>
      <c r="E172" s="98">
        <f t="shared" si="176"/>
        <v>629.74509545360911</v>
      </c>
      <c r="F172" s="99">
        <f t="shared" si="173"/>
        <v>4.7115762801990752E-3</v>
      </c>
      <c r="I172" s="206"/>
      <c r="J172" s="206"/>
      <c r="K172" s="206"/>
      <c r="T172" s="64"/>
      <c r="U172" s="226">
        <f t="shared" si="178"/>
        <v>27.08</v>
      </c>
      <c r="W172" s="42"/>
      <c r="X172" s="52">
        <f t="shared" si="179"/>
        <v>8149756.5599999996</v>
      </c>
      <c r="Z172" s="64"/>
      <c r="AA172" s="69">
        <f>+AA167</f>
        <v>26.761596788759174</v>
      </c>
      <c r="AC172" s="125"/>
      <c r="AD172" s="52">
        <f>+AD167</f>
        <v>10723147.244883729</v>
      </c>
      <c r="AF172" s="64"/>
      <c r="AG172" s="69">
        <f>+AG167</f>
        <v>12.444469133259455</v>
      </c>
      <c r="AI172" s="125"/>
      <c r="AJ172" s="52">
        <f>+AJ167</f>
        <v>4839063.8427511593</v>
      </c>
      <c r="AS172" s="402">
        <f t="shared" si="177"/>
        <v>56.39</v>
      </c>
      <c r="AT172" s="403"/>
      <c r="AV172" s="64"/>
      <c r="AW172" s="69">
        <f t="shared" si="180"/>
        <v>4.4747828641904075</v>
      </c>
      <c r="AY172" s="125"/>
      <c r="AZ172" s="52">
        <f t="shared" si="181"/>
        <v>1.0887549547908535</v>
      </c>
      <c r="BB172" s="116"/>
      <c r="BC172" s="69">
        <f t="shared" si="182"/>
        <v>2.177509909581707</v>
      </c>
      <c r="BE172" s="129"/>
      <c r="BF172" s="52">
        <f t="shared" si="183"/>
        <v>1099.6679272769072</v>
      </c>
      <c r="BH172" s="121"/>
      <c r="BI172" s="69">
        <f t="shared" si="184"/>
        <v>1304.5407317404186</v>
      </c>
      <c r="BK172" s="125">
        <f t="shared" ref="BK172:BM172" si="189">+BK171</f>
        <v>12.44</v>
      </c>
      <c r="BL172" s="185">
        <f t="shared" si="189"/>
        <v>1.0900000000000001</v>
      </c>
      <c r="BM172" s="52">
        <f t="shared" si="189"/>
        <v>6.97</v>
      </c>
      <c r="BO172" s="116">
        <f t="shared" ref="BO172:BQ172" si="190">+BO171</f>
        <v>19.96</v>
      </c>
      <c r="BP172" s="181">
        <f t="shared" si="190"/>
        <v>1.0900000000000001</v>
      </c>
      <c r="BQ172" s="69">
        <f t="shared" si="190"/>
        <v>12.92</v>
      </c>
    </row>
    <row r="173" spans="2:69" ht="11.1" customHeight="1" x14ac:dyDescent="0.15">
      <c r="B173" s="398"/>
      <c r="C173" s="97">
        <v>44013</v>
      </c>
      <c r="D173" s="98">
        <v>650.18716334821841</v>
      </c>
      <c r="E173" s="98">
        <f t="shared" si="176"/>
        <v>633.87873170756961</v>
      </c>
      <c r="F173" s="99">
        <f t="shared" si="173"/>
        <v>6.5639832430660228E-3</v>
      </c>
      <c r="T173" s="64"/>
      <c r="U173" s="226">
        <f t="shared" si="178"/>
        <v>27.08</v>
      </c>
      <c r="W173" s="42"/>
      <c r="X173" s="52">
        <f t="shared" si="179"/>
        <v>8149756.5599999996</v>
      </c>
      <c r="Z173" s="64"/>
      <c r="AA173" s="69">
        <f>+AA167</f>
        <v>26.761596788759174</v>
      </c>
      <c r="AC173" s="125"/>
      <c r="AD173" s="52">
        <f>+AD167</f>
        <v>10723147.244883729</v>
      </c>
      <c r="AF173" s="64"/>
      <c r="AG173" s="225">
        <f>+AG167</f>
        <v>12.444469133259455</v>
      </c>
      <c r="AI173" s="125"/>
      <c r="AJ173" s="52">
        <f>+AJ167</f>
        <v>4839063.8427511593</v>
      </c>
      <c r="AS173" s="402">
        <f t="shared" si="177"/>
        <v>56.39</v>
      </c>
      <c r="AT173" s="403"/>
      <c r="AV173" s="64"/>
      <c r="AW173" s="69">
        <f t="shared" si="180"/>
        <v>4.4747828641904075</v>
      </c>
      <c r="AY173" s="125"/>
      <c r="AZ173" s="52">
        <f t="shared" si="181"/>
        <v>1.0887549547908535</v>
      </c>
      <c r="BB173" s="116"/>
      <c r="BC173" s="69">
        <f t="shared" si="182"/>
        <v>2.177509909581707</v>
      </c>
      <c r="BE173" s="129"/>
      <c r="BF173" s="52">
        <f t="shared" si="183"/>
        <v>1099.6679272769072</v>
      </c>
      <c r="BH173" s="121"/>
      <c r="BI173" s="69">
        <f t="shared" si="184"/>
        <v>1304.5407317404186</v>
      </c>
      <c r="BK173" s="125">
        <f t="shared" ref="BK173:BM173" si="191">+BK172</f>
        <v>12.44</v>
      </c>
      <c r="BL173" s="185">
        <f t="shared" si="191"/>
        <v>1.0900000000000001</v>
      </c>
      <c r="BM173" s="52">
        <f t="shared" si="191"/>
        <v>6.97</v>
      </c>
      <c r="BO173" s="116">
        <f t="shared" ref="BO173:BQ173" si="192">+BO172</f>
        <v>19.96</v>
      </c>
      <c r="BP173" s="181">
        <f t="shared" si="192"/>
        <v>1.0900000000000001</v>
      </c>
      <c r="BQ173" s="69">
        <f t="shared" si="192"/>
        <v>12.92</v>
      </c>
    </row>
    <row r="174" spans="2:69" ht="11.1" customHeight="1" x14ac:dyDescent="0.15">
      <c r="B174" s="398"/>
      <c r="C174" s="97">
        <v>44044</v>
      </c>
      <c r="D174" s="98">
        <v>652.92828641679591</v>
      </c>
      <c r="E174" s="98">
        <f t="shared" si="176"/>
        <v>637.36302148272614</v>
      </c>
      <c r="F174" s="99">
        <f t="shared" si="131"/>
        <v>5.496776592851439E-3</v>
      </c>
      <c r="T174" s="64"/>
      <c r="U174" s="226">
        <f t="shared" si="178"/>
        <v>27.08</v>
      </c>
      <c r="W174" s="42"/>
      <c r="X174" s="52">
        <f>+X173</f>
        <v>8149756.5599999996</v>
      </c>
      <c r="Z174" s="64"/>
      <c r="AA174" s="69">
        <f>+AA167</f>
        <v>26.761596788759174</v>
      </c>
      <c r="AC174" s="125"/>
      <c r="AD174" s="52">
        <f>+AD167</f>
        <v>10723147.244883729</v>
      </c>
      <c r="AF174" s="64"/>
      <c r="AG174" s="69">
        <f>+AG167</f>
        <v>12.444469133259455</v>
      </c>
      <c r="AI174" s="125"/>
      <c r="AJ174" s="52">
        <f>+AJ167</f>
        <v>4839063.8427511593</v>
      </c>
      <c r="AS174" s="402">
        <f t="shared" si="177"/>
        <v>56.39</v>
      </c>
      <c r="AT174" s="403"/>
      <c r="AV174" s="64"/>
      <c r="AW174" s="69">
        <f t="shared" si="180"/>
        <v>4.4747828641904075</v>
      </c>
      <c r="AY174" s="125"/>
      <c r="AZ174" s="52">
        <f t="shared" si="181"/>
        <v>1.0887549547908535</v>
      </c>
      <c r="BB174" s="116"/>
      <c r="BC174" s="69">
        <f t="shared" si="182"/>
        <v>2.177509909581707</v>
      </c>
      <c r="BE174" s="129"/>
      <c r="BF174" s="52">
        <f t="shared" si="183"/>
        <v>1099.6679272769072</v>
      </c>
      <c r="BH174" s="121"/>
      <c r="BI174" s="69">
        <f t="shared" si="184"/>
        <v>1304.5407317404186</v>
      </c>
      <c r="BK174" s="125">
        <f t="shared" ref="BK174:BM174" si="193">+BK173</f>
        <v>12.44</v>
      </c>
      <c r="BL174" s="185">
        <f t="shared" si="193"/>
        <v>1.0900000000000001</v>
      </c>
      <c r="BM174" s="52">
        <f t="shared" si="193"/>
        <v>6.97</v>
      </c>
      <c r="BO174" s="116">
        <f t="shared" ref="BO174:BQ174" si="194">+BO173</f>
        <v>19.96</v>
      </c>
      <c r="BP174" s="181">
        <f t="shared" si="194"/>
        <v>1.0900000000000001</v>
      </c>
      <c r="BQ174" s="69">
        <f t="shared" si="194"/>
        <v>12.92</v>
      </c>
    </row>
    <row r="175" spans="2:69" ht="11.1" customHeight="1" x14ac:dyDescent="0.15">
      <c r="B175" s="398"/>
      <c r="C175" s="97">
        <v>44075</v>
      </c>
      <c r="D175" s="98">
        <v>660.95802831144317</v>
      </c>
      <c r="E175" s="98">
        <f t="shared" si="176"/>
        <v>640.20060461881337</v>
      </c>
      <c r="F175" s="99">
        <f t="shared" si="131"/>
        <v>4.4520674096938289E-3</v>
      </c>
      <c r="T175" s="64"/>
      <c r="U175" s="226">
        <f t="shared" si="178"/>
        <v>27.08</v>
      </c>
      <c r="W175" s="42"/>
      <c r="X175" s="52">
        <f t="shared" si="179"/>
        <v>8149756.5599999996</v>
      </c>
      <c r="Z175" s="64"/>
      <c r="AA175" s="69">
        <f>+AA167</f>
        <v>26.761596788759174</v>
      </c>
      <c r="AC175" s="125"/>
      <c r="AD175" s="52">
        <f>+AD167</f>
        <v>10723147.244883729</v>
      </c>
      <c r="AF175" s="64"/>
      <c r="AG175" s="69">
        <f>+AG167</f>
        <v>12.444469133259455</v>
      </c>
      <c r="AI175" s="125"/>
      <c r="AJ175" s="52">
        <f>+AJ167</f>
        <v>4839063.8427511593</v>
      </c>
      <c r="AS175" s="402">
        <f t="shared" si="177"/>
        <v>56.39</v>
      </c>
      <c r="AT175" s="403"/>
      <c r="AV175" s="64"/>
      <c r="AW175" s="69">
        <f t="shared" si="180"/>
        <v>4.4747828641904075</v>
      </c>
      <c r="AY175" s="125"/>
      <c r="AZ175" s="52">
        <f t="shared" si="181"/>
        <v>1.0887549547908535</v>
      </c>
      <c r="BB175" s="116"/>
      <c r="BC175" s="69">
        <f t="shared" si="182"/>
        <v>2.177509909581707</v>
      </c>
      <c r="BE175" s="129"/>
      <c r="BF175" s="52">
        <f t="shared" si="183"/>
        <v>1099.6679272769072</v>
      </c>
      <c r="BH175" s="121"/>
      <c r="BI175" s="69">
        <f t="shared" si="184"/>
        <v>1304.5407317404186</v>
      </c>
      <c r="BK175" s="125">
        <f>+BK174</f>
        <v>12.44</v>
      </c>
      <c r="BL175" s="185">
        <f>+BL174</f>
        <v>1.0900000000000001</v>
      </c>
      <c r="BM175" s="52">
        <f>+BM174</f>
        <v>6.97</v>
      </c>
      <c r="BO175" s="116">
        <f>+BO174</f>
        <v>19.96</v>
      </c>
      <c r="BP175" s="181">
        <f>+BP174</f>
        <v>1.0900000000000001</v>
      </c>
      <c r="BQ175" s="69">
        <f>+BQ174</f>
        <v>12.92</v>
      </c>
    </row>
    <row r="176" spans="2:69" ht="11.1" customHeight="1" x14ac:dyDescent="0.15">
      <c r="B176" s="398"/>
      <c r="C176" s="97">
        <v>44105</v>
      </c>
      <c r="D176" s="98">
        <v>663.18164917268939</v>
      </c>
      <c r="E176" s="98">
        <f t="shared" si="176"/>
        <v>643.42105867647695</v>
      </c>
      <c r="F176" s="99">
        <f t="shared" si="131"/>
        <v>5.0303827182123454E-3</v>
      </c>
      <c r="T176" s="64"/>
      <c r="U176" s="226">
        <f t="shared" si="178"/>
        <v>27.08</v>
      </c>
      <c r="W176" s="42"/>
      <c r="X176" s="52">
        <f t="shared" si="179"/>
        <v>8149756.5599999996</v>
      </c>
      <c r="Z176" s="64"/>
      <c r="AA176" s="69">
        <f>+AA167</f>
        <v>26.761596788759174</v>
      </c>
      <c r="AC176" s="125"/>
      <c r="AD176" s="52">
        <f>+AD167</f>
        <v>10723147.244883729</v>
      </c>
      <c r="AF176" s="64"/>
      <c r="AG176" s="69">
        <f>+AG167</f>
        <v>12.444469133259455</v>
      </c>
      <c r="AI176" s="125"/>
      <c r="AJ176" s="52">
        <f>+AJ167</f>
        <v>4839063.8427511593</v>
      </c>
      <c r="AS176" s="402">
        <f t="shared" si="177"/>
        <v>56.39</v>
      </c>
      <c r="AT176" s="403"/>
      <c r="AV176" s="64"/>
      <c r="AW176" s="69">
        <f t="shared" si="180"/>
        <v>4.4747828641904075</v>
      </c>
      <c r="AY176" s="125"/>
      <c r="AZ176" s="52">
        <f>+AZ175</f>
        <v>1.0887549547908535</v>
      </c>
      <c r="BB176" s="116"/>
      <c r="BC176" s="69">
        <f>+BC175</f>
        <v>2.177509909581707</v>
      </c>
      <c r="BE176" s="129"/>
      <c r="BF176" s="52">
        <f t="shared" si="183"/>
        <v>1099.6679272769072</v>
      </c>
      <c r="BH176" s="121"/>
      <c r="BI176" s="69">
        <f t="shared" si="184"/>
        <v>1304.5407317404186</v>
      </c>
      <c r="BK176" s="125">
        <f t="shared" ref="BK176:BM176" si="195">+BK175</f>
        <v>12.44</v>
      </c>
      <c r="BL176" s="185">
        <f t="shared" si="195"/>
        <v>1.0900000000000001</v>
      </c>
      <c r="BM176" s="52">
        <f t="shared" si="195"/>
        <v>6.97</v>
      </c>
      <c r="BO176" s="116">
        <f t="shared" ref="BO176:BQ176" si="196">+BO175</f>
        <v>19.96</v>
      </c>
      <c r="BP176" s="181">
        <f t="shared" si="196"/>
        <v>1.0900000000000001</v>
      </c>
      <c r="BQ176" s="69">
        <f t="shared" si="196"/>
        <v>12.92</v>
      </c>
    </row>
    <row r="177" spans="2:69" ht="11.1" customHeight="1" x14ac:dyDescent="0.15">
      <c r="B177" s="398"/>
      <c r="C177" s="97">
        <v>44136</v>
      </c>
      <c r="D177" s="98">
        <v>646.52108459524027</v>
      </c>
      <c r="E177" s="98">
        <f t="shared" si="176"/>
        <v>647.18093931115732</v>
      </c>
      <c r="F177" s="99">
        <f t="shared" si="131"/>
        <v>5.8435772096338909E-3</v>
      </c>
      <c r="T177" s="64"/>
      <c r="U177" s="226">
        <f t="shared" si="178"/>
        <v>27.08</v>
      </c>
      <c r="W177" s="42"/>
      <c r="X177" s="52">
        <f t="shared" si="179"/>
        <v>8149756.5599999996</v>
      </c>
      <c r="Z177" s="64"/>
      <c r="AA177" s="69">
        <f>+AA167</f>
        <v>26.761596788759174</v>
      </c>
      <c r="AC177" s="125"/>
      <c r="AD177" s="52">
        <f>+AD167</f>
        <v>10723147.244883729</v>
      </c>
      <c r="AF177" s="64"/>
      <c r="AG177" s="69">
        <f>+AG167</f>
        <v>12.444469133259455</v>
      </c>
      <c r="AI177" s="125"/>
      <c r="AJ177" s="52">
        <f>+AJ167</f>
        <v>4839063.8427511593</v>
      </c>
      <c r="AS177" s="402">
        <f t="shared" si="177"/>
        <v>56.39</v>
      </c>
      <c r="AT177" s="403"/>
      <c r="AV177" s="64"/>
      <c r="AW177" s="69">
        <f t="shared" si="180"/>
        <v>4.4747828641904075</v>
      </c>
      <c r="AY177" s="125"/>
      <c r="AZ177" s="52">
        <f t="shared" si="181"/>
        <v>1.0887549547908535</v>
      </c>
      <c r="BB177" s="116"/>
      <c r="BC177" s="69">
        <f t="shared" si="182"/>
        <v>2.177509909581707</v>
      </c>
      <c r="BE177" s="129"/>
      <c r="BF177" s="52">
        <f t="shared" si="183"/>
        <v>1099.6679272769072</v>
      </c>
      <c r="BH177" s="121"/>
      <c r="BI177" s="69">
        <f t="shared" si="184"/>
        <v>1304.5407317404186</v>
      </c>
      <c r="BK177" s="125">
        <f t="shared" ref="BK177:BM177" si="197">+BK176</f>
        <v>12.44</v>
      </c>
      <c r="BL177" s="185">
        <f t="shared" si="197"/>
        <v>1.0900000000000001</v>
      </c>
      <c r="BM177" s="52">
        <f t="shared" si="197"/>
        <v>6.97</v>
      </c>
      <c r="BO177" s="116">
        <f t="shared" ref="BO177:BQ177" si="198">+BO176</f>
        <v>19.96</v>
      </c>
      <c r="BP177" s="181">
        <f t="shared" si="198"/>
        <v>1.0900000000000001</v>
      </c>
      <c r="BQ177" s="69">
        <f t="shared" si="198"/>
        <v>12.92</v>
      </c>
    </row>
    <row r="178" spans="2:69" ht="11.1" customHeight="1" thickBot="1" x14ac:dyDescent="0.2">
      <c r="B178" s="399"/>
      <c r="C178" s="100">
        <v>44166</v>
      </c>
      <c r="D178" s="106">
        <v>634.2738800790039</v>
      </c>
      <c r="E178" s="106">
        <f>AVERAGE(D166:D177)</f>
        <v>648.83150006965786</v>
      </c>
      <c r="F178" s="107">
        <f>(E178-E177)/E177</f>
        <v>2.5503853068623446E-3</v>
      </c>
      <c r="T178" s="74"/>
      <c r="U178" s="227">
        <f>U177</f>
        <v>27.08</v>
      </c>
      <c r="W178" s="38"/>
      <c r="X178" s="56">
        <f t="shared" si="179"/>
        <v>8149756.5599999996</v>
      </c>
      <c r="Z178" s="74"/>
      <c r="AA178" s="67">
        <f>+AA167</f>
        <v>26.761596788759174</v>
      </c>
      <c r="AC178" s="126"/>
      <c r="AD178" s="56">
        <f>+AD167</f>
        <v>10723147.244883729</v>
      </c>
      <c r="AF178" s="74"/>
      <c r="AG178" s="67">
        <f>+AG167</f>
        <v>12.444469133259455</v>
      </c>
      <c r="AI178" s="126"/>
      <c r="AJ178" s="56">
        <f>+AJ167</f>
        <v>4839063.8427511593</v>
      </c>
      <c r="AS178" s="404">
        <f t="shared" si="177"/>
        <v>56.39</v>
      </c>
      <c r="AT178" s="405"/>
      <c r="AV178" s="74"/>
      <c r="AW178" s="67">
        <f t="shared" si="180"/>
        <v>4.4747828641904075</v>
      </c>
      <c r="AY178" s="186"/>
      <c r="AZ178" s="56">
        <f>+AZ177</f>
        <v>1.0887549547908535</v>
      </c>
      <c r="BB178" s="146"/>
      <c r="BC178" s="67">
        <f t="shared" si="182"/>
        <v>2.177509909581707</v>
      </c>
      <c r="BE178" s="177"/>
      <c r="BF178" s="56">
        <f t="shared" si="183"/>
        <v>1099.6679272769072</v>
      </c>
      <c r="BH178" s="179"/>
      <c r="BI178" s="67">
        <f t="shared" si="184"/>
        <v>1304.5407317404186</v>
      </c>
      <c r="BK178" s="186">
        <f t="shared" ref="BK178:BM178" si="199">+BK177</f>
        <v>12.44</v>
      </c>
      <c r="BL178" s="187">
        <f t="shared" si="199"/>
        <v>1.0900000000000001</v>
      </c>
      <c r="BM178" s="56">
        <f t="shared" si="199"/>
        <v>6.97</v>
      </c>
      <c r="BO178" s="146">
        <f t="shared" ref="BO178:BQ178" si="200">+BO177</f>
        <v>19.96</v>
      </c>
      <c r="BP178" s="182">
        <f t="shared" si="200"/>
        <v>1.0900000000000001</v>
      </c>
      <c r="BQ178" s="67">
        <f t="shared" si="200"/>
        <v>12.92</v>
      </c>
    </row>
    <row r="179" spans="2:69" ht="11.1" customHeight="1" x14ac:dyDescent="0.15">
      <c r="B179" s="397">
        <v>2021</v>
      </c>
      <c r="C179" s="219">
        <v>44197</v>
      </c>
      <c r="D179" s="103"/>
      <c r="E179" s="103"/>
      <c r="F179" s="105"/>
      <c r="T179" s="228"/>
      <c r="U179" s="73">
        <f>ROUND(17.38*(1-0.02)*(1+((E178-E155)/E155)),2)</f>
        <v>19.559999999999999</v>
      </c>
      <c r="W179" s="220"/>
      <c r="X179" s="57">
        <f>ROUND(5114258.71*(1-0.02)*(1+((E178-E155)/E155)),2)</f>
        <v>5756215</v>
      </c>
      <c r="Z179" s="119"/>
      <c r="AA179" s="73">
        <f>ROUND(Z131*(1-0.02)*(1+((E178-E129)/E129)),2)</f>
        <v>28.68</v>
      </c>
      <c r="AC179" s="183"/>
      <c r="AD179" s="176">
        <f>ROUND(AC131*(1-0.02)*(1+((E178-E129)/E129)),2)</f>
        <v>11492673.949999999</v>
      </c>
      <c r="AF179" s="119"/>
      <c r="AG179" s="73">
        <f>ROUND(AF131*(1-0.02)*(1+((E178-E129)/E129)),2)</f>
        <v>13.34</v>
      </c>
      <c r="AI179" s="183"/>
      <c r="AJ179" s="176">
        <f>ROUND(AI131*(1-0.02)*(1+((E178-E129)/E129)),2)</f>
        <v>5186330.25</v>
      </c>
      <c r="AS179" s="400">
        <f>ROUND(AG179+(BF179/66.17)+U179+((AG179*0.2006)*0.1),2)</f>
        <v>50.98</v>
      </c>
      <c r="AT179" s="401"/>
      <c r="AV179" s="119"/>
      <c r="AW179" s="73">
        <f>ROUND(AV131*(1-0.02)*(1+((E178-E129)/E129)),2)</f>
        <v>4.8</v>
      </c>
      <c r="AY179" s="183"/>
      <c r="AZ179" s="176">
        <f>ROUND(AY131*(1-0.02)*(1+((E178-E129)/E129)),2)</f>
        <v>1.17</v>
      </c>
      <c r="BB179" s="119"/>
      <c r="BC179" s="178">
        <f>ROUND(BB131*(1-0.02)*(1+((E178-E129)/E129)),2)</f>
        <v>2.33</v>
      </c>
      <c r="BE179" s="128"/>
      <c r="BF179" s="176">
        <f>ROUND(BE138*(1-0.02)*(1+((E178-E129)/E129)),2)</f>
        <v>1178.58</v>
      </c>
      <c r="BH179" s="120"/>
      <c r="BI179" s="178">
        <f>ROUND(BH138*(1-0.02)*(1+((E178-E129)/E129)),2)</f>
        <v>1398.16</v>
      </c>
      <c r="BK179" s="183">
        <f>ROUND(11.43*(1-0.02)*(1+((E178-E129)/E129)),2)</f>
        <v>13.34</v>
      </c>
      <c r="BL179" s="184">
        <f>ROUND(1*(1-0.02)*(1+((E178-E129)/E129)),2)</f>
        <v>1.17</v>
      </c>
      <c r="BM179" s="176">
        <f>ROUND(6.4*(1-0.02)*(1+((E178-E129)/E129)),2)</f>
        <v>7.47</v>
      </c>
      <c r="BO179" s="235">
        <f>ROUND(14.88*(1-0.02)*(1+((E178-E129)/E129)),2)</f>
        <v>17.36</v>
      </c>
      <c r="BP179" s="180">
        <f>ROUND(1*(1-0.02)*(1+((E178-E129)/E129)),2)</f>
        <v>1.17</v>
      </c>
      <c r="BQ179" s="178">
        <f>ROUND(11.87*(1-0.02)*(1+((E178-E129)/E129)),2)</f>
        <v>13.85</v>
      </c>
    </row>
    <row r="180" spans="2:69" ht="11.1" customHeight="1" x14ac:dyDescent="0.15">
      <c r="B180" s="398"/>
      <c r="C180" s="97">
        <v>44228</v>
      </c>
      <c r="D180" s="98"/>
      <c r="E180" s="98"/>
      <c r="F180" s="99"/>
      <c r="T180" s="64"/>
      <c r="U180" s="226">
        <f>U179</f>
        <v>19.559999999999999</v>
      </c>
      <c r="W180" s="42"/>
      <c r="X180" s="52">
        <f>X179</f>
        <v>5756215</v>
      </c>
      <c r="Z180" s="64"/>
      <c r="AA180" s="69">
        <f>AA179</f>
        <v>28.68</v>
      </c>
      <c r="AC180" s="125"/>
      <c r="AD180" s="52">
        <f>AD179</f>
        <v>11492673.949999999</v>
      </c>
      <c r="AF180" s="64"/>
      <c r="AG180" s="69">
        <f>AG179</f>
        <v>13.34</v>
      </c>
      <c r="AI180" s="125"/>
      <c r="AJ180" s="234">
        <f>AJ179</f>
        <v>5186330.25</v>
      </c>
      <c r="AL180" s="206"/>
      <c r="AM180" s="206"/>
      <c r="AS180" s="402">
        <f>AS179</f>
        <v>50.98</v>
      </c>
      <c r="AT180" s="403"/>
      <c r="AV180" s="64"/>
      <c r="AW180" s="69">
        <f>AW179</f>
        <v>4.8</v>
      </c>
      <c r="AY180" s="125"/>
      <c r="AZ180" s="52">
        <f>AZ179</f>
        <v>1.17</v>
      </c>
      <c r="BB180" s="116"/>
      <c r="BC180" s="69">
        <f>BC179</f>
        <v>2.33</v>
      </c>
      <c r="BE180" s="129"/>
      <c r="BF180" s="52">
        <f>BF179</f>
        <v>1178.58</v>
      </c>
      <c r="BH180" s="121"/>
      <c r="BI180" s="69">
        <f>BI179</f>
        <v>1398.16</v>
      </c>
      <c r="BK180" s="125">
        <f>BK179</f>
        <v>13.34</v>
      </c>
      <c r="BL180" s="185">
        <f>BL179</f>
        <v>1.17</v>
      </c>
      <c r="BM180" s="52">
        <f>BM179</f>
        <v>7.47</v>
      </c>
      <c r="BO180" s="116">
        <f>BO179</f>
        <v>17.36</v>
      </c>
      <c r="BP180" s="181">
        <f>BP179</f>
        <v>1.17</v>
      </c>
      <c r="BQ180" s="69">
        <f>BQ179</f>
        <v>13.85</v>
      </c>
    </row>
    <row r="181" spans="2:69" ht="11.1" customHeight="1" x14ac:dyDescent="0.15">
      <c r="B181" s="398"/>
      <c r="C181" s="97">
        <v>44256</v>
      </c>
      <c r="D181" s="98"/>
      <c r="E181" s="98"/>
      <c r="F181" s="99"/>
      <c r="T181" s="64"/>
      <c r="U181" s="226">
        <f t="shared" ref="U181:U190" si="201">U180</f>
        <v>19.559999999999999</v>
      </c>
      <c r="W181" s="42"/>
      <c r="X181" s="52">
        <f t="shared" ref="X181:X190" si="202">X180</f>
        <v>5756215</v>
      </c>
      <c r="Z181" s="64"/>
      <c r="AA181" s="69">
        <f t="shared" ref="AA181:AA190" si="203">AA180</f>
        <v>28.68</v>
      </c>
      <c r="AC181" s="125"/>
      <c r="AD181" s="52">
        <f t="shared" ref="AD181:AD190" si="204">AD180</f>
        <v>11492673.949999999</v>
      </c>
      <c r="AF181" s="64"/>
      <c r="AG181" s="69">
        <f t="shared" ref="AG181:AG190" si="205">AG180</f>
        <v>13.34</v>
      </c>
      <c r="AI181" s="125"/>
      <c r="AJ181" s="234">
        <f t="shared" ref="AJ181:AJ190" si="206">AJ180</f>
        <v>5186330.25</v>
      </c>
      <c r="AL181" s="206"/>
      <c r="AM181" s="206"/>
      <c r="AS181" s="402">
        <f t="shared" ref="AS181:AS190" si="207">AS180</f>
        <v>50.98</v>
      </c>
      <c r="AT181" s="403"/>
      <c r="AV181" s="64"/>
      <c r="AW181" s="69">
        <f t="shared" ref="AW181:AW190" si="208">AW180</f>
        <v>4.8</v>
      </c>
      <c r="AY181" s="125"/>
      <c r="AZ181" s="52">
        <f t="shared" ref="AZ181:AZ190" si="209">AZ180</f>
        <v>1.17</v>
      </c>
      <c r="BB181" s="116"/>
      <c r="BC181" s="69">
        <f t="shared" ref="BC181:BC190" si="210">BC180</f>
        <v>2.33</v>
      </c>
      <c r="BE181" s="129"/>
      <c r="BF181" s="52">
        <f t="shared" ref="BF181:BF190" si="211">BF180</f>
        <v>1178.58</v>
      </c>
      <c r="BH181" s="121"/>
      <c r="BI181" s="69">
        <f t="shared" ref="BI181:BI190" si="212">BI180</f>
        <v>1398.16</v>
      </c>
      <c r="BK181" s="125">
        <f t="shared" ref="BK181:BK190" si="213">BK180</f>
        <v>13.34</v>
      </c>
      <c r="BL181" s="185">
        <f t="shared" ref="BL181:BL190" si="214">BL180</f>
        <v>1.17</v>
      </c>
      <c r="BM181" s="52">
        <f t="shared" ref="BM181:BM190" si="215">BM180</f>
        <v>7.47</v>
      </c>
      <c r="BO181" s="116">
        <f t="shared" ref="BO181:BO190" si="216">BO180</f>
        <v>17.36</v>
      </c>
      <c r="BP181" s="181">
        <f t="shared" ref="BP181:BP190" si="217">BP180</f>
        <v>1.17</v>
      </c>
      <c r="BQ181" s="69">
        <f t="shared" ref="BQ181:BQ190" si="218">BQ180</f>
        <v>13.85</v>
      </c>
    </row>
    <row r="182" spans="2:69" ht="11.1" customHeight="1" x14ac:dyDescent="0.15">
      <c r="B182" s="398"/>
      <c r="C182" s="260">
        <v>44287</v>
      </c>
      <c r="D182" s="98"/>
      <c r="E182" s="98"/>
      <c r="F182" s="99"/>
      <c r="T182" s="64"/>
      <c r="U182" s="226">
        <f t="shared" si="201"/>
        <v>19.559999999999999</v>
      </c>
      <c r="W182" s="42"/>
      <c r="X182" s="52">
        <f t="shared" si="202"/>
        <v>5756215</v>
      </c>
      <c r="Z182" s="64"/>
      <c r="AA182" s="69">
        <f t="shared" si="203"/>
        <v>28.68</v>
      </c>
      <c r="AC182" s="125"/>
      <c r="AD182" s="52">
        <f t="shared" si="204"/>
        <v>11492673.949999999</v>
      </c>
      <c r="AF182" s="64"/>
      <c r="AG182" s="69">
        <f t="shared" si="205"/>
        <v>13.34</v>
      </c>
      <c r="AI182" s="125"/>
      <c r="AJ182" s="234">
        <f t="shared" si="206"/>
        <v>5186330.25</v>
      </c>
      <c r="AL182" s="206"/>
      <c r="AM182" s="206"/>
      <c r="AS182" s="402">
        <f t="shared" si="207"/>
        <v>50.98</v>
      </c>
      <c r="AT182" s="403"/>
      <c r="AV182" s="64"/>
      <c r="AW182" s="69">
        <f t="shared" si="208"/>
        <v>4.8</v>
      </c>
      <c r="AY182" s="125"/>
      <c r="AZ182" s="52">
        <f t="shared" si="209"/>
        <v>1.17</v>
      </c>
      <c r="BB182" s="116"/>
      <c r="BC182" s="69">
        <f t="shared" si="210"/>
        <v>2.33</v>
      </c>
      <c r="BE182" s="129"/>
      <c r="BF182" s="52">
        <f t="shared" si="211"/>
        <v>1178.58</v>
      </c>
      <c r="BH182" s="121"/>
      <c r="BI182" s="69">
        <f t="shared" si="212"/>
        <v>1398.16</v>
      </c>
      <c r="BK182" s="125">
        <f t="shared" si="213"/>
        <v>13.34</v>
      </c>
      <c r="BL182" s="185">
        <f t="shared" si="214"/>
        <v>1.17</v>
      </c>
      <c r="BM182" s="52">
        <f t="shared" si="215"/>
        <v>7.47</v>
      </c>
      <c r="BO182" s="116">
        <f t="shared" si="216"/>
        <v>17.36</v>
      </c>
      <c r="BP182" s="181">
        <f t="shared" si="217"/>
        <v>1.17</v>
      </c>
      <c r="BQ182" s="69">
        <f t="shared" si="218"/>
        <v>13.85</v>
      </c>
    </row>
    <row r="183" spans="2:69" ht="11.1" customHeight="1" x14ac:dyDescent="0.15">
      <c r="B183" s="398"/>
      <c r="C183" s="97">
        <v>44317</v>
      </c>
      <c r="D183" s="98"/>
      <c r="E183" s="98"/>
      <c r="F183" s="99"/>
      <c r="T183" s="64"/>
      <c r="U183" s="226">
        <f t="shared" si="201"/>
        <v>19.559999999999999</v>
      </c>
      <c r="W183" s="42"/>
      <c r="X183" s="52">
        <f t="shared" si="202"/>
        <v>5756215</v>
      </c>
      <c r="Z183" s="64"/>
      <c r="AA183" s="69">
        <f t="shared" si="203"/>
        <v>28.68</v>
      </c>
      <c r="AC183" s="125"/>
      <c r="AD183" s="52">
        <f t="shared" si="204"/>
        <v>11492673.949999999</v>
      </c>
      <c r="AF183" s="64"/>
      <c r="AG183" s="69">
        <f t="shared" si="205"/>
        <v>13.34</v>
      </c>
      <c r="AI183" s="125"/>
      <c r="AJ183" s="234">
        <f t="shared" si="206"/>
        <v>5186330.25</v>
      </c>
      <c r="AL183" s="206"/>
      <c r="AM183" s="206"/>
      <c r="AS183" s="402">
        <f t="shared" si="207"/>
        <v>50.98</v>
      </c>
      <c r="AT183" s="403"/>
      <c r="AV183" s="64"/>
      <c r="AW183" s="69">
        <f t="shared" si="208"/>
        <v>4.8</v>
      </c>
      <c r="AY183" s="125"/>
      <c r="AZ183" s="52">
        <f t="shared" si="209"/>
        <v>1.17</v>
      </c>
      <c r="BB183" s="116"/>
      <c r="BC183" s="69">
        <f t="shared" si="210"/>
        <v>2.33</v>
      </c>
      <c r="BE183" s="129"/>
      <c r="BF183" s="52">
        <f t="shared" si="211"/>
        <v>1178.58</v>
      </c>
      <c r="BH183" s="121"/>
      <c r="BI183" s="69">
        <f t="shared" si="212"/>
        <v>1398.16</v>
      </c>
      <c r="BK183" s="125">
        <f t="shared" si="213"/>
        <v>13.34</v>
      </c>
      <c r="BL183" s="185">
        <f t="shared" si="214"/>
        <v>1.17</v>
      </c>
      <c r="BM183" s="52">
        <f t="shared" si="215"/>
        <v>7.47</v>
      </c>
      <c r="BO183" s="116">
        <f t="shared" si="216"/>
        <v>17.36</v>
      </c>
      <c r="BP183" s="181">
        <f t="shared" si="217"/>
        <v>1.17</v>
      </c>
      <c r="BQ183" s="69">
        <f t="shared" si="218"/>
        <v>13.85</v>
      </c>
    </row>
    <row r="184" spans="2:69" ht="11.1" customHeight="1" x14ac:dyDescent="0.15">
      <c r="B184" s="398"/>
      <c r="C184" s="97">
        <v>44348</v>
      </c>
      <c r="D184" s="98"/>
      <c r="E184" s="98"/>
      <c r="F184" s="99"/>
      <c r="T184" s="64"/>
      <c r="U184" s="226">
        <f t="shared" si="201"/>
        <v>19.559999999999999</v>
      </c>
      <c r="W184" s="42"/>
      <c r="X184" s="52">
        <f t="shared" si="202"/>
        <v>5756215</v>
      </c>
      <c r="Z184" s="64"/>
      <c r="AA184" s="69">
        <f t="shared" si="203"/>
        <v>28.68</v>
      </c>
      <c r="AC184" s="125"/>
      <c r="AD184" s="52">
        <f t="shared" si="204"/>
        <v>11492673.949999999</v>
      </c>
      <c r="AF184" s="64"/>
      <c r="AG184" s="69">
        <f t="shared" si="205"/>
        <v>13.34</v>
      </c>
      <c r="AI184" s="125"/>
      <c r="AJ184" s="234">
        <f t="shared" si="206"/>
        <v>5186330.25</v>
      </c>
      <c r="AL184" s="206"/>
      <c r="AM184" s="206"/>
      <c r="AS184" s="402">
        <f t="shared" si="207"/>
        <v>50.98</v>
      </c>
      <c r="AT184" s="403"/>
      <c r="AV184" s="64"/>
      <c r="AW184" s="69">
        <f t="shared" si="208"/>
        <v>4.8</v>
      </c>
      <c r="AY184" s="125"/>
      <c r="AZ184" s="52">
        <f t="shared" si="209"/>
        <v>1.17</v>
      </c>
      <c r="BB184" s="116"/>
      <c r="BC184" s="69">
        <f t="shared" si="210"/>
        <v>2.33</v>
      </c>
      <c r="BE184" s="129"/>
      <c r="BF184" s="52">
        <f t="shared" si="211"/>
        <v>1178.58</v>
      </c>
      <c r="BH184" s="121"/>
      <c r="BI184" s="69">
        <f t="shared" si="212"/>
        <v>1398.16</v>
      </c>
      <c r="BK184" s="125">
        <f t="shared" si="213"/>
        <v>13.34</v>
      </c>
      <c r="BL184" s="185">
        <f t="shared" si="214"/>
        <v>1.17</v>
      </c>
      <c r="BM184" s="52">
        <f t="shared" si="215"/>
        <v>7.47</v>
      </c>
      <c r="BO184" s="116">
        <f t="shared" si="216"/>
        <v>17.36</v>
      </c>
      <c r="BP184" s="181">
        <f t="shared" si="217"/>
        <v>1.17</v>
      </c>
      <c r="BQ184" s="69">
        <f t="shared" si="218"/>
        <v>13.85</v>
      </c>
    </row>
    <row r="185" spans="2:69" ht="11.1" customHeight="1" x14ac:dyDescent="0.15">
      <c r="B185" s="398"/>
      <c r="C185" s="97">
        <v>44378</v>
      </c>
      <c r="D185" s="98"/>
      <c r="E185" s="98"/>
      <c r="F185" s="99"/>
      <c r="T185" s="64"/>
      <c r="U185" s="226">
        <f t="shared" si="201"/>
        <v>19.559999999999999</v>
      </c>
      <c r="W185" s="42"/>
      <c r="X185" s="52">
        <f t="shared" si="202"/>
        <v>5756215</v>
      </c>
      <c r="Z185" s="64"/>
      <c r="AA185" s="69">
        <f t="shared" si="203"/>
        <v>28.68</v>
      </c>
      <c r="AC185" s="125"/>
      <c r="AD185" s="52">
        <f t="shared" si="204"/>
        <v>11492673.949999999</v>
      </c>
      <c r="AF185" s="64"/>
      <c r="AG185" s="69">
        <f t="shared" si="205"/>
        <v>13.34</v>
      </c>
      <c r="AI185" s="125"/>
      <c r="AJ185" s="234">
        <f t="shared" si="206"/>
        <v>5186330.25</v>
      </c>
      <c r="AL185" s="206"/>
      <c r="AM185" s="206"/>
      <c r="AS185" s="402">
        <f t="shared" si="207"/>
        <v>50.98</v>
      </c>
      <c r="AT185" s="403"/>
      <c r="AV185" s="64"/>
      <c r="AW185" s="69">
        <f t="shared" si="208"/>
        <v>4.8</v>
      </c>
      <c r="AY185" s="125"/>
      <c r="AZ185" s="52">
        <f t="shared" si="209"/>
        <v>1.17</v>
      </c>
      <c r="BB185" s="116"/>
      <c r="BC185" s="69">
        <f t="shared" si="210"/>
        <v>2.33</v>
      </c>
      <c r="BE185" s="129"/>
      <c r="BF185" s="52">
        <f t="shared" si="211"/>
        <v>1178.58</v>
      </c>
      <c r="BH185" s="121"/>
      <c r="BI185" s="69">
        <f t="shared" si="212"/>
        <v>1398.16</v>
      </c>
      <c r="BK185" s="125">
        <f t="shared" si="213"/>
        <v>13.34</v>
      </c>
      <c r="BL185" s="185">
        <f t="shared" si="214"/>
        <v>1.17</v>
      </c>
      <c r="BM185" s="52">
        <f t="shared" si="215"/>
        <v>7.47</v>
      </c>
      <c r="BO185" s="116">
        <f t="shared" si="216"/>
        <v>17.36</v>
      </c>
      <c r="BP185" s="181">
        <f t="shared" si="217"/>
        <v>1.17</v>
      </c>
      <c r="BQ185" s="69">
        <f t="shared" si="218"/>
        <v>13.85</v>
      </c>
    </row>
    <row r="186" spans="2:69" ht="11.1" customHeight="1" x14ac:dyDescent="0.15">
      <c r="B186" s="398"/>
      <c r="C186" s="97">
        <v>44409</v>
      </c>
      <c r="D186" s="98"/>
      <c r="E186" s="98"/>
      <c r="F186" s="99"/>
      <c r="T186" s="64"/>
      <c r="U186" s="226">
        <f t="shared" si="201"/>
        <v>19.559999999999999</v>
      </c>
      <c r="W186" s="42"/>
      <c r="X186" s="52">
        <f t="shared" si="202"/>
        <v>5756215</v>
      </c>
      <c r="Z186" s="64"/>
      <c r="AA186" s="69">
        <f t="shared" si="203"/>
        <v>28.68</v>
      </c>
      <c r="AC186" s="125"/>
      <c r="AD186" s="52">
        <f t="shared" si="204"/>
        <v>11492673.949999999</v>
      </c>
      <c r="AF186" s="64"/>
      <c r="AG186" s="69">
        <f t="shared" si="205"/>
        <v>13.34</v>
      </c>
      <c r="AI186" s="125"/>
      <c r="AJ186" s="234">
        <f t="shared" si="206"/>
        <v>5186330.25</v>
      </c>
      <c r="AL186" s="206"/>
      <c r="AM186" s="206"/>
      <c r="AS186" s="402">
        <f t="shared" si="207"/>
        <v>50.98</v>
      </c>
      <c r="AT186" s="403"/>
      <c r="AV186" s="64"/>
      <c r="AW186" s="69">
        <f t="shared" si="208"/>
        <v>4.8</v>
      </c>
      <c r="AY186" s="125"/>
      <c r="AZ186" s="52">
        <f t="shared" si="209"/>
        <v>1.17</v>
      </c>
      <c r="BB186" s="116"/>
      <c r="BC186" s="69">
        <f t="shared" si="210"/>
        <v>2.33</v>
      </c>
      <c r="BE186" s="129"/>
      <c r="BF186" s="52">
        <f t="shared" si="211"/>
        <v>1178.58</v>
      </c>
      <c r="BH186" s="121"/>
      <c r="BI186" s="69">
        <f t="shared" si="212"/>
        <v>1398.16</v>
      </c>
      <c r="BK186" s="125">
        <f t="shared" si="213"/>
        <v>13.34</v>
      </c>
      <c r="BL186" s="185">
        <f t="shared" si="214"/>
        <v>1.17</v>
      </c>
      <c r="BM186" s="52">
        <f t="shared" si="215"/>
        <v>7.47</v>
      </c>
      <c r="BO186" s="116">
        <f t="shared" si="216"/>
        <v>17.36</v>
      </c>
      <c r="BP186" s="181">
        <f t="shared" si="217"/>
        <v>1.17</v>
      </c>
      <c r="BQ186" s="69">
        <f t="shared" si="218"/>
        <v>13.85</v>
      </c>
    </row>
    <row r="187" spans="2:69" ht="11.1" customHeight="1" x14ac:dyDescent="0.15">
      <c r="B187" s="398"/>
      <c r="C187" s="97">
        <v>44440</v>
      </c>
      <c r="D187" s="98"/>
      <c r="E187" s="98"/>
      <c r="F187" s="99"/>
      <c r="T187" s="64"/>
      <c r="U187" s="226">
        <f t="shared" si="201"/>
        <v>19.559999999999999</v>
      </c>
      <c r="W187" s="42"/>
      <c r="X187" s="52">
        <f t="shared" si="202"/>
        <v>5756215</v>
      </c>
      <c r="Z187" s="64"/>
      <c r="AA187" s="69">
        <f t="shared" si="203"/>
        <v>28.68</v>
      </c>
      <c r="AC187" s="125"/>
      <c r="AD187" s="52">
        <f t="shared" si="204"/>
        <v>11492673.949999999</v>
      </c>
      <c r="AF187" s="64"/>
      <c r="AG187" s="69">
        <f t="shared" si="205"/>
        <v>13.34</v>
      </c>
      <c r="AI187" s="125"/>
      <c r="AJ187" s="234">
        <f t="shared" si="206"/>
        <v>5186330.25</v>
      </c>
      <c r="AS187" s="402">
        <f t="shared" si="207"/>
        <v>50.98</v>
      </c>
      <c r="AT187" s="403"/>
      <c r="AV187" s="64"/>
      <c r="AW187" s="69">
        <f t="shared" si="208"/>
        <v>4.8</v>
      </c>
      <c r="AY187" s="125"/>
      <c r="AZ187" s="52">
        <f t="shared" si="209"/>
        <v>1.17</v>
      </c>
      <c r="BB187" s="116"/>
      <c r="BC187" s="69">
        <f t="shared" si="210"/>
        <v>2.33</v>
      </c>
      <c r="BE187" s="129"/>
      <c r="BF187" s="52">
        <f t="shared" si="211"/>
        <v>1178.58</v>
      </c>
      <c r="BH187" s="121"/>
      <c r="BI187" s="69">
        <f t="shared" si="212"/>
        <v>1398.16</v>
      </c>
      <c r="BK187" s="125">
        <f t="shared" si="213"/>
        <v>13.34</v>
      </c>
      <c r="BL187" s="185">
        <f t="shared" si="214"/>
        <v>1.17</v>
      </c>
      <c r="BM187" s="52">
        <f t="shared" si="215"/>
        <v>7.47</v>
      </c>
      <c r="BO187" s="116">
        <f t="shared" si="216"/>
        <v>17.36</v>
      </c>
      <c r="BP187" s="181">
        <f t="shared" si="217"/>
        <v>1.17</v>
      </c>
      <c r="BQ187" s="69">
        <f t="shared" si="218"/>
        <v>13.85</v>
      </c>
    </row>
    <row r="188" spans="2:69" ht="11.1" customHeight="1" x14ac:dyDescent="0.15">
      <c r="B188" s="398"/>
      <c r="C188" s="97">
        <v>44470</v>
      </c>
      <c r="D188" s="98"/>
      <c r="E188" s="98"/>
      <c r="F188" s="99"/>
      <c r="T188" s="64"/>
      <c r="U188" s="226">
        <f t="shared" si="201"/>
        <v>19.559999999999999</v>
      </c>
      <c r="W188" s="42"/>
      <c r="X188" s="52">
        <f t="shared" si="202"/>
        <v>5756215</v>
      </c>
      <c r="Z188" s="64"/>
      <c r="AA188" s="69">
        <f t="shared" si="203"/>
        <v>28.68</v>
      </c>
      <c r="AC188" s="125"/>
      <c r="AD188" s="52">
        <f t="shared" si="204"/>
        <v>11492673.949999999</v>
      </c>
      <c r="AF188" s="64"/>
      <c r="AG188" s="69">
        <f t="shared" si="205"/>
        <v>13.34</v>
      </c>
      <c r="AI188" s="125"/>
      <c r="AJ188" s="234">
        <f t="shared" si="206"/>
        <v>5186330.25</v>
      </c>
      <c r="AS188" s="402">
        <f t="shared" si="207"/>
        <v>50.98</v>
      </c>
      <c r="AT188" s="403"/>
      <c r="AV188" s="64"/>
      <c r="AW188" s="69">
        <f t="shared" si="208"/>
        <v>4.8</v>
      </c>
      <c r="AY188" s="125"/>
      <c r="AZ188" s="52">
        <f t="shared" si="209"/>
        <v>1.17</v>
      </c>
      <c r="BB188" s="116"/>
      <c r="BC188" s="69">
        <f t="shared" si="210"/>
        <v>2.33</v>
      </c>
      <c r="BE188" s="129"/>
      <c r="BF188" s="52">
        <f t="shared" si="211"/>
        <v>1178.58</v>
      </c>
      <c r="BH188" s="121"/>
      <c r="BI188" s="69">
        <f t="shared" si="212"/>
        <v>1398.16</v>
      </c>
      <c r="BK188" s="125">
        <f t="shared" si="213"/>
        <v>13.34</v>
      </c>
      <c r="BL188" s="185">
        <f t="shared" si="214"/>
        <v>1.17</v>
      </c>
      <c r="BM188" s="52">
        <f t="shared" si="215"/>
        <v>7.47</v>
      </c>
      <c r="BO188" s="116">
        <f t="shared" si="216"/>
        <v>17.36</v>
      </c>
      <c r="BP188" s="181">
        <f t="shared" si="217"/>
        <v>1.17</v>
      </c>
      <c r="BQ188" s="69">
        <f t="shared" si="218"/>
        <v>13.85</v>
      </c>
    </row>
    <row r="189" spans="2:69" ht="11.1" customHeight="1" x14ac:dyDescent="0.15">
      <c r="B189" s="398"/>
      <c r="C189" s="97">
        <v>44501</v>
      </c>
      <c r="D189" s="98"/>
      <c r="E189" s="98"/>
      <c r="F189" s="99"/>
      <c r="T189" s="64"/>
      <c r="U189" s="226">
        <f t="shared" si="201"/>
        <v>19.559999999999999</v>
      </c>
      <c r="W189" s="42"/>
      <c r="X189" s="52">
        <f t="shared" si="202"/>
        <v>5756215</v>
      </c>
      <c r="Z189" s="64"/>
      <c r="AA189" s="69">
        <f t="shared" si="203"/>
        <v>28.68</v>
      </c>
      <c r="AC189" s="125"/>
      <c r="AD189" s="52">
        <f t="shared" si="204"/>
        <v>11492673.949999999</v>
      </c>
      <c r="AF189" s="64"/>
      <c r="AG189" s="69">
        <f t="shared" si="205"/>
        <v>13.34</v>
      </c>
      <c r="AI189" s="125"/>
      <c r="AJ189" s="234">
        <f t="shared" si="206"/>
        <v>5186330.25</v>
      </c>
      <c r="AS189" s="402">
        <f t="shared" si="207"/>
        <v>50.98</v>
      </c>
      <c r="AT189" s="403"/>
      <c r="AV189" s="64"/>
      <c r="AW189" s="69">
        <f t="shared" si="208"/>
        <v>4.8</v>
      </c>
      <c r="AY189" s="125"/>
      <c r="AZ189" s="52">
        <f t="shared" si="209"/>
        <v>1.17</v>
      </c>
      <c r="BB189" s="116"/>
      <c r="BC189" s="69">
        <f t="shared" si="210"/>
        <v>2.33</v>
      </c>
      <c r="BE189" s="129"/>
      <c r="BF189" s="52">
        <f t="shared" si="211"/>
        <v>1178.58</v>
      </c>
      <c r="BH189" s="121"/>
      <c r="BI189" s="69">
        <f t="shared" si="212"/>
        <v>1398.16</v>
      </c>
      <c r="BK189" s="125">
        <f t="shared" si="213"/>
        <v>13.34</v>
      </c>
      <c r="BL189" s="185">
        <f t="shared" si="214"/>
        <v>1.17</v>
      </c>
      <c r="BM189" s="52">
        <f t="shared" si="215"/>
        <v>7.47</v>
      </c>
      <c r="BO189" s="116">
        <f t="shared" si="216"/>
        <v>17.36</v>
      </c>
      <c r="BP189" s="181">
        <f t="shared" si="217"/>
        <v>1.17</v>
      </c>
      <c r="BQ189" s="69">
        <f t="shared" si="218"/>
        <v>13.85</v>
      </c>
    </row>
    <row r="190" spans="2:69" ht="11.1" customHeight="1" thickBot="1" x14ac:dyDescent="0.2">
      <c r="B190" s="399"/>
      <c r="C190" s="100">
        <v>44531</v>
      </c>
      <c r="D190" s="106"/>
      <c r="E190" s="106"/>
      <c r="F190" s="107"/>
      <c r="T190" s="74"/>
      <c r="U190" s="227">
        <f t="shared" si="201"/>
        <v>19.559999999999999</v>
      </c>
      <c r="W190" s="38"/>
      <c r="X190" s="56">
        <f t="shared" si="202"/>
        <v>5756215</v>
      </c>
      <c r="Z190" s="74"/>
      <c r="AA190" s="67">
        <f t="shared" si="203"/>
        <v>28.68</v>
      </c>
      <c r="AC190" s="126"/>
      <c r="AD190" s="56">
        <f t="shared" si="204"/>
        <v>11492673.949999999</v>
      </c>
      <c r="AF190" s="74"/>
      <c r="AG190" s="67">
        <f t="shared" si="205"/>
        <v>13.34</v>
      </c>
      <c r="AI190" s="126"/>
      <c r="AJ190" s="261">
        <f t="shared" si="206"/>
        <v>5186330.25</v>
      </c>
      <c r="AS190" s="404">
        <f t="shared" si="207"/>
        <v>50.98</v>
      </c>
      <c r="AT190" s="405"/>
      <c r="AV190" s="74"/>
      <c r="AW190" s="67">
        <f t="shared" si="208"/>
        <v>4.8</v>
      </c>
      <c r="AY190" s="186"/>
      <c r="AZ190" s="56">
        <f t="shared" si="209"/>
        <v>1.17</v>
      </c>
      <c r="BB190" s="146"/>
      <c r="BC190" s="67">
        <f t="shared" si="210"/>
        <v>2.33</v>
      </c>
      <c r="BE190" s="177"/>
      <c r="BF190" s="56">
        <f t="shared" si="211"/>
        <v>1178.58</v>
      </c>
      <c r="BH190" s="179"/>
      <c r="BI190" s="67">
        <f t="shared" si="212"/>
        <v>1398.16</v>
      </c>
      <c r="BK190" s="186">
        <f t="shared" si="213"/>
        <v>13.34</v>
      </c>
      <c r="BL190" s="187">
        <f t="shared" si="214"/>
        <v>1.17</v>
      </c>
      <c r="BM190" s="56">
        <f t="shared" si="215"/>
        <v>7.47</v>
      </c>
      <c r="BO190" s="146">
        <f t="shared" si="216"/>
        <v>17.36</v>
      </c>
      <c r="BP190" s="182">
        <f t="shared" si="217"/>
        <v>1.17</v>
      </c>
      <c r="BQ190" s="67">
        <f t="shared" si="218"/>
        <v>13.85</v>
      </c>
    </row>
  </sheetData>
  <mergeCells count="138">
    <mergeCell ref="B2:F2"/>
    <mergeCell ref="B4:F4"/>
    <mergeCell ref="AS176:AT176"/>
    <mergeCell ref="AS177:AT177"/>
    <mergeCell ref="AS178:AT178"/>
    <mergeCell ref="AS171:AT171"/>
    <mergeCell ref="AS172:AT172"/>
    <mergeCell ref="AS173:AT173"/>
    <mergeCell ref="AS174:AT174"/>
    <mergeCell ref="AS175:AT175"/>
    <mergeCell ref="AS153:AT153"/>
    <mergeCell ref="AS167:AT167"/>
    <mergeCell ref="AS168:AT168"/>
    <mergeCell ref="AS169:AT169"/>
    <mergeCell ref="AS170:AT170"/>
    <mergeCell ref="AS154:AT154"/>
    <mergeCell ref="B155:B166"/>
    <mergeCell ref="AS155:AT155"/>
    <mergeCell ref="AS156:AT156"/>
    <mergeCell ref="AS157:AT157"/>
    <mergeCell ref="AS158:AT158"/>
    <mergeCell ref="AS159:AT159"/>
    <mergeCell ref="AS160:AT160"/>
    <mergeCell ref="AS161:AT161"/>
    <mergeCell ref="K6:L6"/>
    <mergeCell ref="AS141:AT141"/>
    <mergeCell ref="AS142:AT142"/>
    <mergeCell ref="AS131:AT131"/>
    <mergeCell ref="AS138:AT138"/>
    <mergeCell ref="AS135:AT135"/>
    <mergeCell ref="AS136:AT136"/>
    <mergeCell ref="AS137:AT137"/>
    <mergeCell ref="AS139:AT139"/>
    <mergeCell ref="AS140:AT140"/>
    <mergeCell ref="AS129:AT129"/>
    <mergeCell ref="AS130:AT130"/>
    <mergeCell ref="AS132:AT132"/>
    <mergeCell ref="AS133:AT133"/>
    <mergeCell ref="AS134:AT134"/>
    <mergeCell ref="Z6:AA6"/>
    <mergeCell ref="AC6:AD6"/>
    <mergeCell ref="AV2:BC2"/>
    <mergeCell ref="AV4:AW4"/>
    <mergeCell ref="AV6:AW6"/>
    <mergeCell ref="AS2:AT2"/>
    <mergeCell ref="AS162:AT162"/>
    <mergeCell ref="AS163:AT163"/>
    <mergeCell ref="AS164:AT164"/>
    <mergeCell ref="AS165:AT165"/>
    <mergeCell ref="AS166:AT166"/>
    <mergeCell ref="AS150:AT150"/>
    <mergeCell ref="AS151:AT151"/>
    <mergeCell ref="AS144:AT144"/>
    <mergeCell ref="AS145:AT145"/>
    <mergeCell ref="AS146:AT146"/>
    <mergeCell ref="AS147:AT147"/>
    <mergeCell ref="AS148:AT148"/>
    <mergeCell ref="AS149:AT149"/>
    <mergeCell ref="AS152:AT152"/>
    <mergeCell ref="AS143:AT143"/>
    <mergeCell ref="AO2:AQ2"/>
    <mergeCell ref="AL2:AM2"/>
    <mergeCell ref="AI4:AJ4"/>
    <mergeCell ref="N4:R4"/>
    <mergeCell ref="T2:X2"/>
    <mergeCell ref="T4:U4"/>
    <mergeCell ref="W4:X4"/>
    <mergeCell ref="AL6:AM6"/>
    <mergeCell ref="AO6:AQ6"/>
    <mergeCell ref="AO4:AQ4"/>
    <mergeCell ref="AL4:AM4"/>
    <mergeCell ref="AF4:AG4"/>
    <mergeCell ref="AI6:AJ6"/>
    <mergeCell ref="AF6:AG6"/>
    <mergeCell ref="Z2:AJ2"/>
    <mergeCell ref="Z4:AA4"/>
    <mergeCell ref="AC4:AD4"/>
    <mergeCell ref="BO4:BQ4"/>
    <mergeCell ref="BO6:BQ6"/>
    <mergeCell ref="AS128:AT128"/>
    <mergeCell ref="AS4:AT4"/>
    <mergeCell ref="AS6:AT6"/>
    <mergeCell ref="AS117:AT117"/>
    <mergeCell ref="AS118:AT118"/>
    <mergeCell ref="AS119:AT119"/>
    <mergeCell ref="AS120:AT120"/>
    <mergeCell ref="AS121:AT121"/>
    <mergeCell ref="AS122:AT122"/>
    <mergeCell ref="AS123:AT123"/>
    <mergeCell ref="AS124:AT124"/>
    <mergeCell ref="AS125:AT125"/>
    <mergeCell ref="AY6:AZ6"/>
    <mergeCell ref="BK6:BM6"/>
    <mergeCell ref="BK4:BM4"/>
    <mergeCell ref="BE6:BF6"/>
    <mergeCell ref="BH6:BI6"/>
    <mergeCell ref="AY4:AZ4"/>
    <mergeCell ref="BE4:BF4"/>
    <mergeCell ref="BH4:BI4"/>
    <mergeCell ref="AS126:AT126"/>
    <mergeCell ref="AS127:AT127"/>
    <mergeCell ref="B69:B80"/>
    <mergeCell ref="B93:B104"/>
    <mergeCell ref="B129:B142"/>
    <mergeCell ref="BB4:BC4"/>
    <mergeCell ref="BB6:BC6"/>
    <mergeCell ref="BK2:BQ2"/>
    <mergeCell ref="BE2:BI2"/>
    <mergeCell ref="B167:B178"/>
    <mergeCell ref="T6:U6"/>
    <mergeCell ref="W6:X6"/>
    <mergeCell ref="H2:R2"/>
    <mergeCell ref="H4:L4"/>
    <mergeCell ref="B143:B154"/>
    <mergeCell ref="B81:B92"/>
    <mergeCell ref="H6:I6"/>
    <mergeCell ref="B117:B128"/>
    <mergeCell ref="B105:B116"/>
    <mergeCell ref="B57:B68"/>
    <mergeCell ref="B45:B56"/>
    <mergeCell ref="B33:B44"/>
    <mergeCell ref="Q6:R6"/>
    <mergeCell ref="N6:O6"/>
    <mergeCell ref="B21:B32"/>
    <mergeCell ref="B9:B20"/>
    <mergeCell ref="B179:B190"/>
    <mergeCell ref="AS179:AT179"/>
    <mergeCell ref="AS180:AT180"/>
    <mergeCell ref="AS181:AT181"/>
    <mergeCell ref="AS182:AT182"/>
    <mergeCell ref="AS183:AT183"/>
    <mergeCell ref="AS184:AT184"/>
    <mergeCell ref="AS185:AT185"/>
    <mergeCell ref="AS186:AT186"/>
    <mergeCell ref="AS187:AT187"/>
    <mergeCell ref="AS188:AT188"/>
    <mergeCell ref="AS189:AT189"/>
    <mergeCell ref="AS190:AT190"/>
  </mergeCells>
  <phoneticPr fontId="0" type="noConversion"/>
  <pageMargins left="0.7" right="0.7" top="0.75" bottom="0.75" header="0.3" footer="0.3"/>
  <pageSetup orientation="portrait" r:id="rId1"/>
  <ignoredErrors>
    <ignoredError sqref="E34 E86:E88" formulaRange="1"/>
    <ignoredError sqref="N33 AM81 P33:R33 J33:M33 AF33" 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3F452B4B1F7DB48A6BABC19F3A6188D" ma:contentTypeVersion="12" ma:contentTypeDescription="Crear nuevo documento." ma:contentTypeScope="" ma:versionID="63e021572b49bc8ee76d2cb88bb43d45">
  <xsd:schema xmlns:xsd="http://www.w3.org/2001/XMLSchema" xmlns:xs="http://www.w3.org/2001/XMLSchema" xmlns:p="http://schemas.microsoft.com/office/2006/metadata/properties" xmlns:ns2="a92cc3c6-40ec-4d1a-8470-f817d265a481" xmlns:ns3="8a0e8c64-41ac-42f4-8f1f-d8c868875284" targetNamespace="http://schemas.microsoft.com/office/2006/metadata/properties" ma:root="true" ma:fieldsID="768ac7aac3af5bc397f1d4f262ef7280" ns2:_="" ns3:_="">
    <xsd:import namespace="a92cc3c6-40ec-4d1a-8470-f817d265a481"/>
    <xsd:import namespace="8a0e8c64-41ac-42f4-8f1f-d8c86887528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2cc3c6-40ec-4d1a-8470-f817d265a4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0e8c64-41ac-42f4-8f1f-d8c868875284"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7BD54A-3B97-435B-88E8-9EE5F121215D}">
  <ds:schemaRefs>
    <ds:schemaRef ds:uri="http://schemas.microsoft.com/sharepoint/v3/contenttype/forms"/>
  </ds:schemaRefs>
</ds:datastoreItem>
</file>

<file path=customXml/itemProps2.xml><?xml version="1.0" encoding="utf-8"?>
<ds:datastoreItem xmlns:ds="http://schemas.openxmlformats.org/officeDocument/2006/customXml" ds:itemID="{029214FF-B622-4B82-8C18-7B206365A82F}"/>
</file>

<file path=customXml/itemProps3.xml><?xml version="1.0" encoding="utf-8"?>
<ds:datastoreItem xmlns:ds="http://schemas.openxmlformats.org/officeDocument/2006/customXml" ds:itemID="{A2E7CCF2-6997-4B34-96B2-146C1C60424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Antes de Res. 1763 de 2007</vt:lpstr>
      <vt:lpstr>Después de Res. 1763 de 2007</vt:lpstr>
    </vt:vector>
  </TitlesOfParts>
  <Company>CRT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orlando.garces</dc:creator>
  <cp:lastModifiedBy>Jose David Soba</cp:lastModifiedBy>
  <dcterms:created xsi:type="dcterms:W3CDTF">2007-07-19T18:20:09Z</dcterms:created>
  <dcterms:modified xsi:type="dcterms:W3CDTF">2021-01-14T03:22:31Z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0x01010063F452B4B1F7DB48A6BABC19F3A6188D</vt:lpwstr>
  </property>
</Properties>
</file>