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guel.duran\Downloads\"/>
    </mc:Choice>
  </mc:AlternateContent>
  <xr:revisionPtr revIDLastSave="0" documentId="13_ncr:1_{37C74BEE-16F4-4012-8D1C-D8A0A88B39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cional" sheetId="2" r:id="rId1"/>
    <sheet name="Region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Y4" i="1" l="1"/>
  <c r="HZ3" i="1" s="1"/>
  <c r="HZ1" i="1" l="1"/>
  <c r="HZ2" i="1"/>
  <c r="HZ4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B119" i="1"/>
  <c r="B120" i="1"/>
  <c r="B121" i="1"/>
  <c r="B122" i="1"/>
  <c r="B123" i="1"/>
  <c r="B124" i="1"/>
  <c r="B125" i="1"/>
  <c r="B118" i="1"/>
  <c r="L39" i="1"/>
  <c r="K39" i="1"/>
  <c r="J39" i="1"/>
  <c r="I39" i="1"/>
  <c r="FG14" i="1"/>
  <c r="F63" i="2" l="1"/>
  <c r="C63" i="2"/>
  <c r="R60" i="2"/>
  <c r="K28" i="2"/>
  <c r="J27" i="2"/>
  <c r="K25" i="1" l="1"/>
  <c r="J25" i="1"/>
  <c r="AW19" i="1" l="1"/>
  <c r="BG12" i="1"/>
  <c r="BG13" i="1"/>
  <c r="BG14" i="1"/>
  <c r="BG15" i="1"/>
  <c r="BG16" i="1"/>
  <c r="BG17" i="1"/>
  <c r="BG18" i="1"/>
  <c r="BG19" i="1"/>
  <c r="BG11" i="1"/>
  <c r="BE12" i="1"/>
  <c r="BE13" i="1"/>
  <c r="BE14" i="1"/>
  <c r="BE15" i="1"/>
  <c r="BE16" i="1"/>
  <c r="BE17" i="1"/>
  <c r="BE18" i="1"/>
  <c r="BE19" i="1"/>
  <c r="BE11" i="1"/>
  <c r="BC12" i="1"/>
  <c r="BC13" i="1"/>
  <c r="BC14" i="1"/>
  <c r="BC15" i="1"/>
  <c r="BC16" i="1"/>
  <c r="BC17" i="1"/>
  <c r="BC18" i="1"/>
  <c r="BC19" i="1"/>
  <c r="BC11" i="1"/>
  <c r="AZ12" i="1"/>
  <c r="AZ13" i="1"/>
  <c r="AZ14" i="1"/>
  <c r="AZ15" i="1"/>
  <c r="BJ15" i="1" s="1"/>
  <c r="AZ16" i="1"/>
  <c r="BI16" i="1" s="1"/>
  <c r="AZ17" i="1"/>
  <c r="AZ18" i="1"/>
  <c r="BJ18" i="1" s="1"/>
  <c r="AZ19" i="1"/>
  <c r="AZ11" i="1"/>
  <c r="AO12" i="1"/>
  <c r="AW12" i="1" s="1"/>
  <c r="AO13" i="1"/>
  <c r="AX13" i="1" s="1"/>
  <c r="AO14" i="1"/>
  <c r="AX14" i="1" s="1"/>
  <c r="AO15" i="1"/>
  <c r="AW15" i="1" s="1"/>
  <c r="AO16" i="1"/>
  <c r="AW16" i="1" s="1"/>
  <c r="AO17" i="1"/>
  <c r="AX17" i="1" s="1"/>
  <c r="AO18" i="1"/>
  <c r="AW18" i="1" s="1"/>
  <c r="AO19" i="1"/>
  <c r="AX19" i="1" s="1"/>
  <c r="AO11" i="1"/>
  <c r="AW11" i="1" s="1"/>
  <c r="AM12" i="1"/>
  <c r="AM13" i="1"/>
  <c r="AM14" i="1"/>
  <c r="AM15" i="1"/>
  <c r="AM16" i="1"/>
  <c r="AM17" i="1"/>
  <c r="AM18" i="1"/>
  <c r="AM19" i="1"/>
  <c r="AM11" i="1"/>
  <c r="AK12" i="1"/>
  <c r="AK13" i="1"/>
  <c r="AK14" i="1"/>
  <c r="AK15" i="1"/>
  <c r="AK16" i="1"/>
  <c r="AK17" i="1"/>
  <c r="AK18" i="1"/>
  <c r="AK19" i="1"/>
  <c r="AK11" i="1"/>
  <c r="B63" i="2"/>
  <c r="G60" i="2"/>
  <c r="BM11" i="2"/>
  <c r="BL11" i="2"/>
  <c r="BV11" i="2"/>
  <c r="BT11" i="2"/>
  <c r="BR11" i="2"/>
  <c r="BO11" i="2"/>
  <c r="BY11" i="2" s="1"/>
  <c r="BD11" i="2"/>
  <c r="BB11" i="2"/>
  <c r="AZ11" i="2"/>
  <c r="J223" i="1"/>
  <c r="CA11" i="2" l="1"/>
  <c r="BJ17" i="1"/>
  <c r="BJ16" i="1"/>
  <c r="AX11" i="1"/>
  <c r="BL11" i="1" s="1"/>
  <c r="BI14" i="1"/>
  <c r="BJ13" i="1"/>
  <c r="AX16" i="1"/>
  <c r="BL16" i="1" s="1"/>
  <c r="BX11" i="2"/>
  <c r="BZ11" i="2" s="1"/>
  <c r="BI12" i="1"/>
  <c r="AX15" i="1"/>
  <c r="BL15" i="1" s="1"/>
  <c r="BI19" i="1"/>
  <c r="BK19" i="1" s="1"/>
  <c r="BJ11" i="1"/>
  <c r="BJ12" i="1"/>
  <c r="AX12" i="1"/>
  <c r="BL12" i="1" s="1"/>
  <c r="BL17" i="1"/>
  <c r="BL13" i="1"/>
  <c r="AW14" i="1"/>
  <c r="BK14" i="1" s="1"/>
  <c r="BI18" i="1"/>
  <c r="BK18" i="1" s="1"/>
  <c r="BJ19" i="1"/>
  <c r="BL19" i="1" s="1"/>
  <c r="BK16" i="1"/>
  <c r="AW17" i="1"/>
  <c r="AX18" i="1"/>
  <c r="BL18" i="1" s="1"/>
  <c r="BI17" i="1"/>
  <c r="BK17" i="1" s="1"/>
  <c r="BI13" i="1"/>
  <c r="BJ14" i="1"/>
  <c r="BL14" i="1" s="1"/>
  <c r="BI15" i="1"/>
  <c r="BK15" i="1" s="1"/>
  <c r="AW13" i="1"/>
  <c r="BK13" i="1" s="1"/>
  <c r="BK12" i="1"/>
  <c r="BI11" i="1"/>
  <c r="BK11" i="1" s="1"/>
  <c r="E136" i="2"/>
  <c r="D136" i="2"/>
  <c r="D135" i="2"/>
  <c r="E117" i="2"/>
  <c r="E118" i="2"/>
  <c r="E119" i="2"/>
  <c r="E120" i="2"/>
  <c r="E121" i="2"/>
  <c r="E122" i="2"/>
  <c r="E123" i="2"/>
  <c r="E124" i="2"/>
  <c r="E125" i="2"/>
  <c r="E126" i="2"/>
  <c r="E127" i="2"/>
  <c r="E116" i="2"/>
  <c r="E80" i="1" l="1"/>
  <c r="E67" i="1"/>
  <c r="F95" i="1" l="1"/>
  <c r="M28" i="2" l="1"/>
  <c r="K21" i="2"/>
  <c r="M21" i="2"/>
  <c r="M27" i="2"/>
  <c r="L27" i="2"/>
  <c r="K27" i="2"/>
  <c r="G53" i="2"/>
  <c r="F53" i="2"/>
  <c r="I53" i="2"/>
  <c r="H53" i="2"/>
  <c r="G46" i="2"/>
  <c r="F46" i="2"/>
  <c r="E46" i="2"/>
  <c r="H46" i="2" l="1"/>
  <c r="N20" i="2"/>
  <c r="L20" i="2"/>
  <c r="K20" i="2"/>
  <c r="J20" i="2"/>
  <c r="O20" i="2"/>
  <c r="M20" i="2"/>
  <c r="OY11" i="2"/>
  <c r="OX11" i="2"/>
  <c r="OQ11" i="2"/>
  <c r="OS11" i="2" s="1"/>
  <c r="OR11" i="2"/>
  <c r="OT11" i="2" s="1"/>
  <c r="OD11" i="2"/>
  <c r="OF11" i="2" s="1"/>
  <c r="OC11" i="2"/>
  <c r="OE11" i="2" s="1"/>
  <c r="NG11" i="2"/>
  <c r="NI11" i="2" s="1"/>
  <c r="NF11" i="2"/>
  <c r="NH11" i="2" s="1"/>
  <c r="MJ11" i="2"/>
  <c r="ML11" i="2" s="1"/>
  <c r="MI11" i="2"/>
  <c r="MK11" i="2" s="1"/>
  <c r="LM11" i="2"/>
  <c r="LO11" i="2" s="1"/>
  <c r="KC11" i="2"/>
  <c r="LL11" i="2"/>
  <c r="LN11" i="2" s="1"/>
  <c r="KO11" i="2"/>
  <c r="KN11" i="2"/>
  <c r="KB11" i="2"/>
  <c r="KD11" i="2" s="1"/>
  <c r="IP11" i="2"/>
  <c r="JD11" i="2"/>
  <c r="JC11" i="2"/>
  <c r="IO11" i="2"/>
  <c r="IA11" i="2"/>
  <c r="IC11" i="2" s="1"/>
  <c r="HZ11" i="2"/>
  <c r="IB11" i="2" s="1"/>
  <c r="HD11" i="2"/>
  <c r="JH11" i="2" l="1"/>
  <c r="KE11" i="2"/>
  <c r="KK11" i="2" s="1"/>
  <c r="OH11" i="2"/>
  <c r="PA11" i="2" s="1"/>
  <c r="JG11" i="2"/>
  <c r="KJ11" i="2" s="1"/>
  <c r="OG11" i="2"/>
  <c r="OZ11" i="2" s="1"/>
  <c r="HC11" i="2"/>
  <c r="GV11" i="2"/>
  <c r="HF11" i="2" s="1"/>
  <c r="GU11" i="2"/>
  <c r="GU12" i="2"/>
  <c r="GF11" i="2"/>
  <c r="FX11" i="2"/>
  <c r="GG11" i="2"/>
  <c r="FY11" i="2"/>
  <c r="FG11" i="1"/>
  <c r="ED11" i="2"/>
  <c r="EH11" i="2" s="1"/>
  <c r="EC11" i="2"/>
  <c r="EG11" i="2" s="1"/>
  <c r="FO11" i="2"/>
  <c r="FQ11" i="2" s="1"/>
  <c r="FN11" i="2"/>
  <c r="FP11" i="2" s="1"/>
  <c r="EQ11" i="2"/>
  <c r="EP11" i="2"/>
  <c r="E108" i="1"/>
  <c r="E109" i="1" s="1"/>
  <c r="E110" i="1" s="1"/>
  <c r="E111" i="1" s="1"/>
  <c r="E112" i="1" s="1"/>
  <c r="D108" i="1"/>
  <c r="D109" i="1" s="1"/>
  <c r="D110" i="1" s="1"/>
  <c r="C108" i="1"/>
  <c r="C109" i="1" s="1"/>
  <c r="C110" i="1" s="1"/>
  <c r="C111" i="1" s="1"/>
  <c r="C112" i="1" s="1"/>
  <c r="B108" i="1"/>
  <c r="B109" i="1" s="1"/>
  <c r="B110" i="1" s="1"/>
  <c r="B111" i="1" s="1"/>
  <c r="B112" i="1" s="1"/>
  <c r="DR11" i="2"/>
  <c r="DQ11" i="2"/>
  <c r="DF11" i="2"/>
  <c r="DE11" i="2"/>
  <c r="CT11" i="2"/>
  <c r="CS11" i="2"/>
  <c r="CH11" i="2"/>
  <c r="CG11" i="2"/>
  <c r="AU11" i="2"/>
  <c r="AT11" i="2"/>
  <c r="K11" i="2"/>
  <c r="J11" i="2"/>
  <c r="E11" i="2"/>
  <c r="D11" i="2"/>
  <c r="KQ11" i="2" l="1"/>
  <c r="DT11" i="2"/>
  <c r="HE11" i="2"/>
  <c r="KP12" i="2" s="1"/>
  <c r="DS11" i="2"/>
  <c r="GI11" i="2"/>
  <c r="GH11" i="2"/>
  <c r="D111" i="1"/>
  <c r="D112" i="1" s="1"/>
  <c r="GL11" i="2" l="1"/>
  <c r="GK11" i="2"/>
  <c r="KP11" i="2"/>
  <c r="GM11" i="2"/>
  <c r="GN11" i="2"/>
  <c r="F103" i="1"/>
  <c r="F125" i="1" s="1"/>
  <c r="F102" i="1"/>
  <c r="F124" i="1" s="1"/>
  <c r="F101" i="1"/>
  <c r="F123" i="1" s="1"/>
  <c r="F100" i="1"/>
  <c r="F122" i="1" s="1"/>
  <c r="F99" i="1"/>
  <c r="F121" i="1" s="1"/>
  <c r="F98" i="1"/>
  <c r="F120" i="1" s="1"/>
  <c r="F97" i="1"/>
  <c r="F119" i="1" s="1"/>
  <c r="F96" i="1"/>
  <c r="F118" i="1" s="1"/>
  <c r="Q26" i="1"/>
  <c r="Q27" i="1"/>
  <c r="Q28" i="1"/>
  <c r="Q29" i="1"/>
  <c r="Q30" i="1"/>
  <c r="Q31" i="1"/>
  <c r="Q32" i="1"/>
  <c r="Q33" i="1"/>
  <c r="Q25" i="1"/>
  <c r="F108" i="1" l="1"/>
  <c r="F109" i="1" s="1"/>
  <c r="F110" i="1" s="1"/>
  <c r="F111" i="1" s="1"/>
  <c r="F112" i="1" s="1"/>
  <c r="O26" i="1"/>
  <c r="O27" i="1"/>
  <c r="O28" i="1"/>
  <c r="O29" i="1"/>
  <c r="O30" i="1"/>
  <c r="O31" i="1"/>
  <c r="O32" i="1"/>
  <c r="O33" i="1"/>
  <c r="O25" i="1"/>
  <c r="M26" i="1"/>
  <c r="M27" i="1"/>
  <c r="M28" i="1"/>
  <c r="M29" i="1"/>
  <c r="M30" i="1"/>
  <c r="M31" i="1"/>
  <c r="M32" i="1"/>
  <c r="M33" i="1"/>
  <c r="M25" i="1"/>
  <c r="P26" i="1"/>
  <c r="P27" i="1"/>
  <c r="P28" i="1"/>
  <c r="P29" i="1"/>
  <c r="P30" i="1"/>
  <c r="P31" i="1"/>
  <c r="P32" i="1"/>
  <c r="P33" i="1"/>
  <c r="P25" i="1"/>
  <c r="FZ18" i="1"/>
  <c r="N26" i="1" l="1"/>
  <c r="N27" i="1"/>
  <c r="N28" i="1"/>
  <c r="N29" i="1"/>
  <c r="N30" i="1"/>
  <c r="N31" i="1"/>
  <c r="N32" i="1"/>
  <c r="N33" i="1"/>
  <c r="N25" i="1"/>
  <c r="L26" i="1"/>
  <c r="L27" i="1"/>
  <c r="L28" i="1"/>
  <c r="L29" i="1"/>
  <c r="L30" i="1"/>
  <c r="L31" i="1"/>
  <c r="L32" i="1"/>
  <c r="L33" i="1"/>
  <c r="L25" i="1"/>
  <c r="K26" i="1"/>
  <c r="S26" i="1" s="1"/>
  <c r="K27" i="1"/>
  <c r="S27" i="1" s="1"/>
  <c r="K28" i="1"/>
  <c r="S28" i="1" s="1"/>
  <c r="K29" i="1"/>
  <c r="S29" i="1" s="1"/>
  <c r="K30" i="1"/>
  <c r="S30" i="1" s="1"/>
  <c r="K31" i="1"/>
  <c r="S31" i="1" s="1"/>
  <c r="K32" i="1"/>
  <c r="S32" i="1" s="1"/>
  <c r="K33" i="1"/>
  <c r="S33" i="1" s="1"/>
  <c r="S25" i="1"/>
  <c r="J26" i="1"/>
  <c r="R26" i="1" s="1"/>
  <c r="J27" i="1"/>
  <c r="R27" i="1" s="1"/>
  <c r="J28" i="1"/>
  <c r="R28" i="1" s="1"/>
  <c r="J29" i="1"/>
  <c r="R29" i="1" s="1"/>
  <c r="J30" i="1"/>
  <c r="R30" i="1" s="1"/>
  <c r="J31" i="1"/>
  <c r="R31" i="1" s="1"/>
  <c r="J32" i="1"/>
  <c r="R32" i="1" s="1"/>
  <c r="J33" i="1"/>
  <c r="R33" i="1" s="1"/>
  <c r="R25" i="1"/>
  <c r="FP11" i="1"/>
  <c r="FO11" i="1"/>
  <c r="FP19" i="1"/>
  <c r="FO19" i="1"/>
  <c r="FP18" i="1"/>
  <c r="FO18" i="1"/>
  <c r="FP17" i="1"/>
  <c r="FO17" i="1"/>
  <c r="FP16" i="1"/>
  <c r="FO16" i="1"/>
  <c r="FP15" i="1"/>
  <c r="FO15" i="1"/>
  <c r="FP14" i="1"/>
  <c r="FO14" i="1"/>
  <c r="FQ14" i="1" s="1"/>
  <c r="FP13" i="1"/>
  <c r="FO13" i="1"/>
  <c r="FP12" i="1"/>
  <c r="FO12" i="1"/>
  <c r="FH12" i="1"/>
  <c r="FH13" i="1"/>
  <c r="FH14" i="1"/>
  <c r="FR14" i="1" s="1"/>
  <c r="FH15" i="1"/>
  <c r="FH16" i="1"/>
  <c r="FH17" i="1"/>
  <c r="FH18" i="1"/>
  <c r="FR18" i="1" s="1"/>
  <c r="FH19" i="1"/>
  <c r="FH11" i="1"/>
  <c r="FG12" i="1"/>
  <c r="FG13" i="1"/>
  <c r="FG15" i="1"/>
  <c r="FG16" i="1"/>
  <c r="FG17" i="1"/>
  <c r="FG18" i="1"/>
  <c r="FG19" i="1"/>
  <c r="EX12" i="1"/>
  <c r="EZ12" i="1" s="1"/>
  <c r="EX13" i="1"/>
  <c r="EZ13" i="1" s="1"/>
  <c r="EX14" i="1"/>
  <c r="EZ14" i="1" s="1"/>
  <c r="EX15" i="1"/>
  <c r="EZ15" i="1" s="1"/>
  <c r="EX16" i="1"/>
  <c r="EZ16" i="1" s="1"/>
  <c r="EX17" i="1"/>
  <c r="EZ17" i="1" s="1"/>
  <c r="EX18" i="1"/>
  <c r="EZ18" i="1" s="1"/>
  <c r="EX19" i="1"/>
  <c r="EZ19" i="1" s="1"/>
  <c r="EX11" i="1"/>
  <c r="EZ11" i="1" s="1"/>
  <c r="EW15" i="1"/>
  <c r="EY15" i="1" s="1"/>
  <c r="EW11" i="1"/>
  <c r="EY11" i="1" s="1"/>
  <c r="DZ12" i="1"/>
  <c r="DZ13" i="1"/>
  <c r="DZ14" i="1"/>
  <c r="DZ15" i="1"/>
  <c r="DZ16" i="1"/>
  <c r="DZ17" i="1"/>
  <c r="DZ18" i="1"/>
  <c r="DZ19" i="1"/>
  <c r="DZ11" i="1"/>
  <c r="DY11" i="1"/>
  <c r="DM11" i="1"/>
  <c r="DQ11" i="1" s="1"/>
  <c r="DM12" i="1"/>
  <c r="DQ12" i="1" s="1"/>
  <c r="DM13" i="1"/>
  <c r="DQ13" i="1" s="1"/>
  <c r="DM14" i="1"/>
  <c r="DQ14" i="1" s="1"/>
  <c r="DM15" i="1"/>
  <c r="DQ15" i="1" s="1"/>
  <c r="DM16" i="1"/>
  <c r="DQ16" i="1" s="1"/>
  <c r="DM17" i="1"/>
  <c r="DQ17" i="1" s="1"/>
  <c r="DM18" i="1"/>
  <c r="DQ18" i="1" s="1"/>
  <c r="DM19" i="1"/>
  <c r="DQ19" i="1" s="1"/>
  <c r="DL11" i="1"/>
  <c r="DP11" i="1" s="1"/>
  <c r="DC19" i="1"/>
  <c r="DC12" i="1"/>
  <c r="DC13" i="1"/>
  <c r="DC14" i="1"/>
  <c r="DC15" i="1"/>
  <c r="DC16" i="1"/>
  <c r="DC17" i="1"/>
  <c r="DC18" i="1"/>
  <c r="DC11" i="1"/>
  <c r="DB12" i="1"/>
  <c r="DB11" i="1"/>
  <c r="CQ12" i="1"/>
  <c r="CQ13" i="1"/>
  <c r="CQ14" i="1"/>
  <c r="CQ15" i="1"/>
  <c r="CQ16" i="1"/>
  <c r="CQ17" i="1"/>
  <c r="CQ18" i="1"/>
  <c r="CQ19" i="1"/>
  <c r="CQ11" i="1"/>
  <c r="CP11" i="1"/>
  <c r="CE12" i="1"/>
  <c r="CE13" i="1"/>
  <c r="CE14" i="1"/>
  <c r="CE15" i="1"/>
  <c r="CE16" i="1"/>
  <c r="CE17" i="1"/>
  <c r="CE18" i="1"/>
  <c r="CE19" i="1"/>
  <c r="CE11" i="1"/>
  <c r="CD11" i="1"/>
  <c r="BS12" i="1"/>
  <c r="BS13" i="1"/>
  <c r="BS14" i="1"/>
  <c r="BS15" i="1"/>
  <c r="BS16" i="1"/>
  <c r="BS17" i="1"/>
  <c r="BS18" i="1"/>
  <c r="BS19" i="1"/>
  <c r="BS11" i="1"/>
  <c r="BR12" i="1"/>
  <c r="BR13" i="1"/>
  <c r="BR14" i="1"/>
  <c r="BR15" i="1"/>
  <c r="BR16" i="1"/>
  <c r="BR17" i="1"/>
  <c r="BR18" i="1"/>
  <c r="BR19" i="1"/>
  <c r="BR11" i="1"/>
  <c r="AF12" i="1"/>
  <c r="AF13" i="1"/>
  <c r="AF14" i="1"/>
  <c r="AF15" i="1"/>
  <c r="AF16" i="1"/>
  <c r="AF17" i="1"/>
  <c r="AF18" i="1"/>
  <c r="AF19" i="1"/>
  <c r="AF11" i="1"/>
  <c r="AE11" i="1"/>
  <c r="AG11" i="1" s="1"/>
  <c r="J12" i="1"/>
  <c r="J13" i="1"/>
  <c r="J14" i="1"/>
  <c r="J15" i="1"/>
  <c r="J16" i="1"/>
  <c r="J17" i="1"/>
  <c r="J18" i="1"/>
  <c r="J19" i="1"/>
  <c r="I12" i="1"/>
  <c r="GA12" i="1"/>
  <c r="GA13" i="1"/>
  <c r="GA14" i="1"/>
  <c r="GA15" i="1"/>
  <c r="GA16" i="1"/>
  <c r="GA17" i="1"/>
  <c r="GA18" i="1"/>
  <c r="GA19" i="1"/>
  <c r="GA11" i="1"/>
  <c r="FZ12" i="1"/>
  <c r="FZ13" i="1"/>
  <c r="FZ14" i="1"/>
  <c r="FZ15" i="1"/>
  <c r="FZ16" i="1"/>
  <c r="FZ17" i="1"/>
  <c r="FZ19" i="1"/>
  <c r="FZ11" i="1"/>
  <c r="GE19" i="1"/>
  <c r="GE13" i="1"/>
  <c r="GE14" i="1"/>
  <c r="GE15" i="1"/>
  <c r="GE16" i="1"/>
  <c r="GE17" i="1"/>
  <c r="GE18" i="1"/>
  <c r="GE12" i="1"/>
  <c r="GE11" i="1"/>
  <c r="GD12" i="1"/>
  <c r="GD13" i="1"/>
  <c r="GD14" i="1"/>
  <c r="GD15" i="1"/>
  <c r="GD16" i="1"/>
  <c r="GD17" i="1"/>
  <c r="GD18" i="1"/>
  <c r="GD19" i="1"/>
  <c r="GD11" i="1"/>
  <c r="FQ18" i="1" l="1"/>
  <c r="DD11" i="1"/>
  <c r="FR17" i="1"/>
  <c r="FR13" i="1"/>
  <c r="AH16" i="1"/>
  <c r="AH12" i="1"/>
  <c r="AH19" i="1"/>
  <c r="AH15" i="1"/>
  <c r="FR19" i="1"/>
  <c r="FR15" i="1"/>
  <c r="FQ19" i="1"/>
  <c r="FQ15" i="1"/>
  <c r="FQ17" i="1"/>
  <c r="FQ13" i="1"/>
  <c r="AH18" i="1"/>
  <c r="AH14" i="1"/>
  <c r="DE11" i="1"/>
  <c r="DE18" i="1"/>
  <c r="FT18" i="1" s="1"/>
  <c r="DE14" i="1"/>
  <c r="FT14" i="1" s="1"/>
  <c r="FQ11" i="1"/>
  <c r="FQ16" i="1"/>
  <c r="FQ12" i="1"/>
  <c r="AH17" i="1"/>
  <c r="AH13" i="1"/>
  <c r="BM11" i="1"/>
  <c r="DE19" i="1"/>
  <c r="FR11" i="1"/>
  <c r="FR16" i="1"/>
  <c r="FR12" i="1"/>
  <c r="DE17" i="1"/>
  <c r="DE13" i="1"/>
  <c r="DE16" i="1"/>
  <c r="DE12" i="1"/>
  <c r="DE15" i="1"/>
  <c r="M11" i="2"/>
  <c r="O11" i="2"/>
  <c r="OQ12" i="2"/>
  <c r="HC12" i="2"/>
  <c r="NH12" i="2"/>
  <c r="MK12" i="2"/>
  <c r="LN12" i="2"/>
  <c r="KD12" i="2"/>
  <c r="HY4" i="2"/>
  <c r="HZ1" i="2" s="1"/>
  <c r="FT17" i="1" l="1"/>
  <c r="FS11" i="1"/>
  <c r="FT13" i="1"/>
  <c r="BN15" i="1"/>
  <c r="BN12" i="1"/>
  <c r="BN16" i="1"/>
  <c r="FT15" i="1"/>
  <c r="BN19" i="1"/>
  <c r="BN17" i="1"/>
  <c r="FT19" i="1"/>
  <c r="BN13" i="1"/>
  <c r="R11" i="2"/>
  <c r="Q11" i="2"/>
  <c r="HZ3" i="2"/>
  <c r="FT12" i="1"/>
  <c r="FT16" i="1"/>
  <c r="FT11" i="1"/>
  <c r="BN14" i="1"/>
  <c r="BN18" i="1"/>
  <c r="OE12" i="2"/>
  <c r="HZ2" i="2"/>
  <c r="HZ4" i="2"/>
  <c r="EW12" i="1" l="1"/>
  <c r="EY12" i="1" s="1"/>
  <c r="EW13" i="1"/>
  <c r="EY13" i="1" s="1"/>
  <c r="EW14" i="1"/>
  <c r="EY14" i="1" s="1"/>
  <c r="EW16" i="1"/>
  <c r="EY16" i="1" s="1"/>
  <c r="EW17" i="1"/>
  <c r="EY17" i="1" s="1"/>
  <c r="EW18" i="1"/>
  <c r="EY18" i="1" s="1"/>
  <c r="EW19" i="1"/>
  <c r="EY19" i="1" s="1"/>
  <c r="DY19" i="1"/>
  <c r="DY12" i="1"/>
  <c r="DY13" i="1"/>
  <c r="DY14" i="1"/>
  <c r="DY15" i="1"/>
  <c r="DY16" i="1"/>
  <c r="DY17" i="1"/>
  <c r="DY18" i="1"/>
  <c r="DL12" i="1"/>
  <c r="DP12" i="1" s="1"/>
  <c r="DL13" i="1"/>
  <c r="DP13" i="1" s="1"/>
  <c r="DL14" i="1"/>
  <c r="DP14" i="1" s="1"/>
  <c r="DL15" i="1"/>
  <c r="DP15" i="1" s="1"/>
  <c r="DL16" i="1"/>
  <c r="DP16" i="1" s="1"/>
  <c r="DL17" i="1"/>
  <c r="DP17" i="1" s="1"/>
  <c r="DL18" i="1"/>
  <c r="DP18" i="1" s="1"/>
  <c r="DL19" i="1"/>
  <c r="DP19" i="1" s="1"/>
  <c r="DB13" i="1"/>
  <c r="DB14" i="1"/>
  <c r="DB15" i="1"/>
  <c r="DB16" i="1"/>
  <c r="DB17" i="1"/>
  <c r="DB18" i="1"/>
  <c r="DB19" i="1"/>
  <c r="CP12" i="1"/>
  <c r="DD12" i="1" s="1"/>
  <c r="CP13" i="1"/>
  <c r="CP14" i="1"/>
  <c r="CP15" i="1"/>
  <c r="CP16" i="1"/>
  <c r="CP17" i="1"/>
  <c r="CP18" i="1"/>
  <c r="CP19" i="1"/>
  <c r="CD12" i="1"/>
  <c r="CD13" i="1"/>
  <c r="CD14" i="1"/>
  <c r="CD15" i="1"/>
  <c r="CD16" i="1"/>
  <c r="CD17" i="1"/>
  <c r="CD18" i="1"/>
  <c r="CD19" i="1"/>
  <c r="AE12" i="1"/>
  <c r="AE13" i="1"/>
  <c r="AG13" i="1" s="1"/>
  <c r="BM13" i="1" s="1"/>
  <c r="AE14" i="1"/>
  <c r="AE15" i="1"/>
  <c r="AE16" i="1"/>
  <c r="AE17" i="1"/>
  <c r="AE18" i="1"/>
  <c r="AE19" i="1"/>
  <c r="I13" i="1"/>
  <c r="I14" i="1"/>
  <c r="I15" i="1"/>
  <c r="I16" i="1"/>
  <c r="I17" i="1"/>
  <c r="I18" i="1"/>
  <c r="I19" i="1"/>
  <c r="S11" i="2"/>
  <c r="AG19" i="1" l="1"/>
  <c r="BM19" i="1" s="1"/>
  <c r="AG15" i="1"/>
  <c r="BM15" i="1" s="1"/>
  <c r="X11" i="2"/>
  <c r="AV11" i="2" s="1"/>
  <c r="CB11" i="2" s="1"/>
  <c r="Y11" i="2"/>
  <c r="AW11" i="2" s="1"/>
  <c r="CC11" i="2" s="1"/>
  <c r="AG18" i="1"/>
  <c r="BM18" i="1" s="1"/>
  <c r="AG14" i="1"/>
  <c r="BM14" i="1" s="1"/>
  <c r="DD17" i="1"/>
  <c r="FS17" i="1" s="1"/>
  <c r="AG16" i="1"/>
  <c r="BM16" i="1" s="1"/>
  <c r="FS12" i="1"/>
  <c r="DD16" i="1"/>
  <c r="FS16" i="1" s="1"/>
  <c r="DD13" i="1"/>
  <c r="FS13" i="1" s="1"/>
  <c r="AG17" i="1"/>
  <c r="BM17" i="1" s="1"/>
  <c r="DD19" i="1"/>
  <c r="FS19" i="1" s="1"/>
  <c r="DD15" i="1"/>
  <c r="FS15" i="1" s="1"/>
  <c r="DD18" i="1"/>
  <c r="FS18" i="1" s="1"/>
  <c r="DD14" i="1"/>
  <c r="FS14" i="1" s="1"/>
  <c r="D11" i="1"/>
  <c r="I11" i="1" l="1"/>
  <c r="AG12" i="1" s="1"/>
  <c r="BM12" i="1" s="1"/>
  <c r="J11" i="1"/>
  <c r="AH11" i="1" s="1"/>
  <c r="BN11" i="1" s="1"/>
</calcChain>
</file>

<file path=xl/sharedStrings.xml><?xml version="1.0" encoding="utf-8"?>
<sst xmlns="http://schemas.openxmlformats.org/spreadsheetml/2006/main" count="1133" uniqueCount="318">
  <si>
    <t>Región</t>
  </si>
  <si>
    <t>Computador portátil</t>
  </si>
  <si>
    <t>Tableta</t>
  </si>
  <si>
    <t>Teléfono celular</t>
  </si>
  <si>
    <t>Otro</t>
  </si>
  <si>
    <t>Obtener información
(No incluye búsqueda de información con fines de educación)</t>
  </si>
  <si>
    <t>Correo y mensajería</t>
  </si>
  <si>
    <t xml:space="preserve">Redes sociales </t>
  </si>
  <si>
    <t>Comprar/ordenar productos o servicios</t>
  </si>
  <si>
    <t>Banca electrónica u otros servicios financieros</t>
  </si>
  <si>
    <t>Educación y aprendizaje</t>
  </si>
  <si>
    <t>Trámites con organismos gubernamentales</t>
  </si>
  <si>
    <t>Actividades de entretenimiento</t>
  </si>
  <si>
    <t>Consulta de medios de comunicación</t>
  </si>
  <si>
    <t>Otro servicio</t>
  </si>
  <si>
    <t>Skype</t>
  </si>
  <si>
    <t>Snapchat</t>
  </si>
  <si>
    <t>Spotify</t>
  </si>
  <si>
    <t>Twitter</t>
  </si>
  <si>
    <t>Whatsapp</t>
  </si>
  <si>
    <t>Youtube</t>
  </si>
  <si>
    <t>Facebook</t>
  </si>
  <si>
    <t>Google +</t>
  </si>
  <si>
    <t>Instagram</t>
  </si>
  <si>
    <t>Linkedin</t>
  </si>
  <si>
    <t>Facebook - Diario</t>
  </si>
  <si>
    <t>Whatsapp - Diario</t>
  </si>
  <si>
    <t>Youtube - Diario</t>
  </si>
  <si>
    <t>Twitter - Diario</t>
  </si>
  <si>
    <t>Google+ - Diario</t>
  </si>
  <si>
    <t>Instagram - Diario</t>
  </si>
  <si>
    <t>Copiar o mover un archivo o carpeta</t>
  </si>
  <si>
    <t>Usar las funciones de copiar y pegar para duplicar o mover información entre documentos</t>
  </si>
  <si>
    <t>Enviar correos electrónicos con archivos adjuntos (documentos, fotos, videos, etc.)</t>
  </si>
  <si>
    <t>Conectar o instalar dispositivos adicionales (ej. Impresora, módem, cámara, etc.)</t>
  </si>
  <si>
    <t>Usar fórmulas matemáticas básicas en una hoja de cálculo (excel, open office calc, etc)</t>
  </si>
  <si>
    <t>Crear presentaciones mediante un programa especializado para ello (Power Point,prezi, otros)</t>
  </si>
  <si>
    <t>Transferir archivos entre computadores y otros dispositivos (USB, celular, etc.)</t>
  </si>
  <si>
    <t>Libros</t>
  </si>
  <si>
    <t>Negocios y Finanzas</t>
  </si>
  <si>
    <t>Comunicaciones</t>
  </si>
  <si>
    <t>Entretenimiento</t>
  </si>
  <si>
    <t>Juegos</t>
  </si>
  <si>
    <t>Salud y bienestar</t>
  </si>
  <si>
    <t>Referencias</t>
  </si>
  <si>
    <t>Estilo de vida</t>
  </si>
  <si>
    <t>Música</t>
  </si>
  <si>
    <t>Mapas y Navegación</t>
  </si>
  <si>
    <t>Noticias</t>
  </si>
  <si>
    <t>Videos y Fotos</t>
  </si>
  <si>
    <t>Herramientas ofimáticas</t>
  </si>
  <si>
    <t>Compras información de almacenes</t>
  </si>
  <si>
    <t>Redes sociales</t>
  </si>
  <si>
    <t>Deportes</t>
  </si>
  <si>
    <t>Transporte</t>
  </si>
  <si>
    <t>Viajes</t>
  </si>
  <si>
    <t>Utilidades</t>
  </si>
  <si>
    <t>Clima</t>
  </si>
  <si>
    <t>Información</t>
  </si>
  <si>
    <t>Peticiones</t>
  </si>
  <si>
    <t>Participacion</t>
  </si>
  <si>
    <t>Seguimiento y gestion</t>
  </si>
  <si>
    <t>Denunciar</t>
  </si>
  <si>
    <t xml:space="preserve">Enviar o recibir correo electrónico </t>
  </si>
  <si>
    <t>Banca electrónica</t>
  </si>
  <si>
    <t>Transacciones con organismos del gobierno</t>
  </si>
  <si>
    <t>Servicio al cliente</t>
  </si>
  <si>
    <t>Capacitación de personal</t>
  </si>
  <si>
    <t>Contratación interna o externa</t>
  </si>
  <si>
    <t>Uso de aplicaciones</t>
  </si>
  <si>
    <t>Llamadas telefónicas por Internet VoIP</t>
  </si>
  <si>
    <t>BOGOTÁ D.C.</t>
  </si>
  <si>
    <t>ANTIOQUIA</t>
  </si>
  <si>
    <t>ORINOQUÍA - AMAZONÍA</t>
  </si>
  <si>
    <t>NACIONAL</t>
  </si>
  <si>
    <t>Computador de escritorio_2016</t>
  </si>
  <si>
    <t>negocios y finanzas</t>
  </si>
  <si>
    <t>comunicaciones</t>
  </si>
  <si>
    <t>entretenimiento</t>
  </si>
  <si>
    <t>juegos</t>
  </si>
  <si>
    <t>salud y bienestar</t>
  </si>
  <si>
    <t>referencias</t>
  </si>
  <si>
    <t>estilo de vida</t>
  </si>
  <si>
    <t>música</t>
  </si>
  <si>
    <t>mapas de navegación</t>
  </si>
  <si>
    <t>noticias</t>
  </si>
  <si>
    <t>videos y fotos</t>
  </si>
  <si>
    <t>herramientas ofimáticas</t>
  </si>
  <si>
    <t>compras e información de almacenes</t>
  </si>
  <si>
    <t>redes sociales</t>
  </si>
  <si>
    <t>deportes</t>
  </si>
  <si>
    <t>transporte</t>
  </si>
  <si>
    <t>viajes</t>
  </si>
  <si>
    <t>utilidades</t>
  </si>
  <si>
    <t>clima</t>
  </si>
  <si>
    <t>a. Suministra a terceros, su clave de acceso a redes sociales y correo electrónico</t>
  </si>
  <si>
    <t>b. Cambia frecuentemente las claves/contraseñas de acceso a su computador /tablet? (Las claves/contraseñas son las
llaves que dan acceso a servicios, aplicaciones, es decir a información personal, comprometiendo nuestra privacidad.)</t>
  </si>
  <si>
    <t>c. Cambia frecuentemente las claves de acceso/contraseñas a redes sociales y correo electrónico? (Las
claves/contraseñas son las llaves que dan acceso a servicios, aplicaciones, es decir a información personal,
comprometiendo nuestra privacidad.)</t>
  </si>
  <si>
    <t>d. Conoce sobre las buenas prácticas para realizar una contraseña segura?</t>
  </si>
  <si>
    <t>e. Mantiene actualizado el antivirus del computador/Tablet/ celular?</t>
  </si>
  <si>
    <t>f. Reporta spam?</t>
  </si>
  <si>
    <t>g. Valida el software o aplicaciones antes de su instalación?</t>
  </si>
  <si>
    <t>h. Realiza copias de seguridad para evitar perder información importante que conserva en su
computador/tablet/celular?</t>
  </si>
  <si>
    <t>a. Suministra sus datos personales e información personal</t>
  </si>
  <si>
    <t>b. Es selectivo en los contactos que acepta y bloquea en redes sociales?</t>
  </si>
  <si>
    <t>c. Permite a extraños ver sus contenidos (fotos, videos, etc.) en redes sociales?</t>
  </si>
  <si>
    <t>d. Hace transacciones en computadores de acceso público?</t>
  </si>
  <si>
    <t>e. Acepta conversaciones vía chat con extraños?</t>
  </si>
  <si>
    <t>f. Denuncia ante las autoridades sobre contenidos que atentan contra la integridad de las personas?</t>
  </si>
  <si>
    <t>Linkedin -
Diario</t>
  </si>
  <si>
    <t>Spotify -
Diario</t>
  </si>
  <si>
    <t>Snapchat -
Diario</t>
  </si>
  <si>
    <t>Skype - Diario</t>
  </si>
  <si>
    <t>C.1_Usan Internet</t>
  </si>
  <si>
    <t>C.10_Usan Internet</t>
  </si>
  <si>
    <t>Enviar o recibir correo electrónico</t>
  </si>
  <si>
    <t>Búsqueda de información</t>
  </si>
  <si>
    <t>Entrega de productos en forma digitalizada</t>
  </si>
  <si>
    <t xml:space="preserve"> Recibir y hacer pedidos por Internet</t>
  </si>
  <si>
    <t>Capacitación de persona</t>
  </si>
  <si>
    <t>H Correo y almacenamiento</t>
  </si>
  <si>
    <t>I1 Alojamiento</t>
  </si>
  <si>
    <t>I2 Restaurantes, catering y bares</t>
  </si>
  <si>
    <t>J0 Actividades de edición</t>
  </si>
  <si>
    <t>J1 Producción de películas</t>
  </si>
  <si>
    <t>J2 Programación y transmisión de TV y agencias de noticias</t>
  </si>
  <si>
    <t>J3 Telecomunicaciones</t>
  </si>
  <si>
    <t>J4 Sistemas informáticos y procesamiento de datos</t>
  </si>
  <si>
    <t>L-N1 Actividades inmobiliarias y de alquiler</t>
  </si>
  <si>
    <t>M Profesionales, científicas y técnicas</t>
  </si>
  <si>
    <t>N2 Agencias de viaje</t>
  </si>
  <si>
    <t>N3 Empleo, seguridad e investigación privada</t>
  </si>
  <si>
    <t>N4 Administrativas y de apoyo a oficina</t>
  </si>
  <si>
    <t>P Educación superior privada</t>
  </si>
  <si>
    <t>Q Salud humana privada</t>
  </si>
  <si>
    <t>R Juegos de azar, actividades deportivas y esparcimiento</t>
  </si>
  <si>
    <t>S Otras actividades de servicios</t>
  </si>
  <si>
    <t>Industria Manufacturera</t>
  </si>
  <si>
    <t>Comercio</t>
  </si>
  <si>
    <t>Red de área Lan</t>
  </si>
  <si>
    <t>Telecomunicaciones</t>
  </si>
  <si>
    <t>Desarrollo de sistemas informáticos y procesamiento de datos</t>
  </si>
  <si>
    <t>Con página o sitio web</t>
  </si>
  <si>
    <t>Uso de plataformas para verder productos</t>
  </si>
  <si>
    <t>Uso de plataformas para comprar productos</t>
  </si>
  <si>
    <t>Comercial</t>
  </si>
  <si>
    <t>Ventas a través de comercio electrónico</t>
  </si>
  <si>
    <t>Fabricación de productos informáticos, electrónicos y ópticos</t>
  </si>
  <si>
    <t>Actividades de edición</t>
  </si>
  <si>
    <t>Cinematografía, grabación de sonido y edición de música</t>
  </si>
  <si>
    <t>Transmisión de radiodifusión sonora y televisión</t>
  </si>
  <si>
    <t>Mayor e igual 10 Mb</t>
  </si>
  <si>
    <t>VALLE DEL CAUCA</t>
  </si>
  <si>
    <t>PreEscolarEscuelas</t>
  </si>
  <si>
    <t>%BasicaPrimaria</t>
  </si>
  <si>
    <t>%BasicaSecundaria</t>
  </si>
  <si>
    <t>%Media</t>
  </si>
  <si>
    <t>%CLEI</t>
  </si>
  <si>
    <t>1.1.2 Penetración de Internet móvil de banda ancha</t>
  </si>
  <si>
    <t>1.4.2 Velocidades Internet fijo de banda ancha</t>
  </si>
  <si>
    <t>1.4 Calidad de Internet</t>
  </si>
  <si>
    <t>1.5.2 Cobertura de redes 3G</t>
  </si>
  <si>
    <t>1.5.3 Cobertura de redes 4G</t>
  </si>
  <si>
    <t>1.5 Cobertura de Internet de banda ancha</t>
  </si>
  <si>
    <t>1.6.1 Precio promedio de los servicios fijos de banda ancha</t>
  </si>
  <si>
    <t>1.6.2 Precio Internet móvil de banda ancha</t>
  </si>
  <si>
    <t>1.6.3 ARPU de datos móviles como porcentaje del ARPU móvil total</t>
  </si>
  <si>
    <t>1.6 Precios para conectividad</t>
  </si>
  <si>
    <t>1.7 Dispositivos TIC y aplicaciones</t>
  </si>
  <si>
    <t>1.8.1 Empresas con protocolos para incidentes digitales</t>
  </si>
  <si>
    <t>1.8.3 Incidentes digitales, amenazas cibernéticas y/o ataques cibernéticos en empresas</t>
  </si>
  <si>
    <t>1.8.5 Rechazo a compras online por cuestiones de privacidad y seguridad</t>
  </si>
  <si>
    <t>1.8.6 Adopción de prácticas seguras por los usuarios de Internet_2016</t>
  </si>
  <si>
    <t>1.8.7 Hábitos de privacidad de los usuarios de Internet</t>
  </si>
  <si>
    <t>2.1.1 Total de usuarios de Internet</t>
  </si>
  <si>
    <t>2.1.2 Usuarios diarios de Internet</t>
  </si>
  <si>
    <t xml:space="preserve">2.1.3 Usuarios de Internet en movilidad </t>
  </si>
  <si>
    <t>2.1 Usuarios de Internet</t>
  </si>
  <si>
    <t>2.2.1 Difusión de actividades online seleccionadas entre usuarios de Internet</t>
  </si>
  <si>
    <t>2.4.1 Uso de redes sociales</t>
  </si>
  <si>
    <t>2.4.2 Frecuencia uso redes sociales</t>
  </si>
  <si>
    <t>2.6.1 Visita de sitios web locales</t>
  </si>
  <si>
    <t>2.7.1 Acompañamiento a los menores de edad en el uso de Internet</t>
  </si>
  <si>
    <t>2.8.2 Uso del computador en instituciones educativas para la enseñanza</t>
  </si>
  <si>
    <t>2.8.3 Conexión a Internet en instituciones educativas</t>
  </si>
  <si>
    <t>2.8.4 Uso de Internet como ayuda pedagógica</t>
  </si>
  <si>
    <t>2.9.1 Habilidades para realizar tareas TIC</t>
  </si>
  <si>
    <t>2.9 Habilidades TIC</t>
  </si>
  <si>
    <t>2.10.3 Población que teletrabaja</t>
  </si>
  <si>
    <t>2.10 Uso de las TIC en el trabajo</t>
  </si>
  <si>
    <t>2.11.1 Individuos comprando online</t>
  </si>
  <si>
    <t>2.11.2 Tipos de bienes y servicios comprados online</t>
  </si>
  <si>
    <t>2.11 Consumidores electrónicos (E-consumers)</t>
  </si>
  <si>
    <t>2.12.1 Individuos usando servicios de E-government</t>
  </si>
  <si>
    <t xml:space="preserve">2.12.2 Difusión actividades E-Government </t>
  </si>
  <si>
    <t>2.12.5 Empresas usando servicios de E-government (%)</t>
  </si>
  <si>
    <t xml:space="preserve">2.12.6 Difusión actividades E-Government </t>
  </si>
  <si>
    <t>2.12 Uso del Gobierno Digital</t>
  </si>
  <si>
    <t>2.13.5 Telemedicina</t>
  </si>
  <si>
    <t>2.13 TIC y salud</t>
  </si>
  <si>
    <t>3.1.1 Innovación empresarial en la industria manufacturera TIC</t>
  </si>
  <si>
    <t>3.1.5 
Recursos públicos destinados a la innovación en la industria manufacturera TIC</t>
  </si>
  <si>
    <t>3.1 Innovación en industrias TIC</t>
  </si>
  <si>
    <t>3.2.1 Empresas que utilizan Internet</t>
  </si>
  <si>
    <t>3.2.2 Conectividad de banda ancha corporativa</t>
  </si>
  <si>
    <t>3.2.3 Difusión de  actividades online en las empresas</t>
  </si>
  <si>
    <t>3.2.5 
Adquisición de software informático</t>
  </si>
  <si>
    <t>3.2.7 
Uso de Cloud Computing</t>
  </si>
  <si>
    <t>3.2.8
Uso de Data Analytics</t>
  </si>
  <si>
    <t>3.2.9 Entrenamiento TIC a personal empleado</t>
  </si>
  <si>
    <t>3.4.1 Patentes de Invensión concedidas que están relacionadas con las TIC</t>
  </si>
  <si>
    <t>3.4.2 Patentes de Modelo de Utilidad concedidas que están relacionadas con las TIC</t>
  </si>
  <si>
    <t>3.4 Propiedad Intelectual</t>
  </si>
  <si>
    <t>4.2.6 Producción de bienes de alta tecnología</t>
  </si>
  <si>
    <t>4.5.1 Empresas con página o sitio web</t>
  </si>
  <si>
    <t>4.5.2 Empresas vendiendo por Internet</t>
  </si>
  <si>
    <t>4.5.3 Empresas comprando por Internet (e-purchases)</t>
  </si>
  <si>
    <t>4.5.4 Ventas de E-commerce</t>
  </si>
  <si>
    <t>4.6.2 Graduados en programas de pregrado relacionados con el sector TIC</t>
  </si>
  <si>
    <t>4.6.3 Graduados en programas de posgrados relacionados con el sector TIC</t>
  </si>
  <si>
    <t>4.8.3 Importaciones de productos TIC</t>
  </si>
  <si>
    <t xml:space="preserve">3.2.4 Porcentaje de empresas con red LAN </t>
  </si>
  <si>
    <t>1.1 Penetración de Internet banda ancha</t>
  </si>
  <si>
    <t>1.1.1 Penetración de Internet fijo de banda ancha</t>
  </si>
  <si>
    <t>ORIENTAL</t>
  </si>
  <si>
    <t>CENTRAL</t>
  </si>
  <si>
    <t>PACÍFICA</t>
  </si>
  <si>
    <t>CARIBE</t>
  </si>
  <si>
    <t>1.5.1 Cobertura de banda ancha fija</t>
  </si>
  <si>
    <t>28.03%</t>
  </si>
  <si>
    <t>Cantidad empresas encuestas</t>
  </si>
  <si>
    <t>servicios</t>
  </si>
  <si>
    <t>manufactura</t>
  </si>
  <si>
    <t>comercio</t>
  </si>
  <si>
    <t>Total</t>
  </si>
  <si>
    <t>Promedio dimensión con indicadores de varias variables</t>
  </si>
  <si>
    <t>1.7.1 Dispositivos usados para acceder al Internet</t>
  </si>
  <si>
    <t>1.7.2 Uso de Apps en Internet</t>
  </si>
  <si>
    <t>1.8 Seguridad y privacidad</t>
  </si>
  <si>
    <t>2.2 Actividades online</t>
  </si>
  <si>
    <t>2.4 Uso de redes sociales</t>
  </si>
  <si>
    <t>2.7 Cuidado niños online</t>
  </si>
  <si>
    <t>2.8 TIC en Educación</t>
  </si>
  <si>
    <t>BasicaPrimaria</t>
  </si>
  <si>
    <t>BasicaSecundaria</t>
  </si>
  <si>
    <t>Media</t>
  </si>
  <si>
    <t>CLEI</t>
  </si>
  <si>
    <t>2.12.6 Difusión actividades E-Government</t>
  </si>
  <si>
    <t>3.2 Negocios electrónicos (E-business)</t>
  </si>
  <si>
    <t>3. Desencadenando la creatividad y la innovación</t>
  </si>
  <si>
    <t>2. Empoderando a la sociedad</t>
  </si>
  <si>
    <t>1. Invirtiendo en infraestructura inteligente</t>
  </si>
  <si>
    <t>4.6 Capital humano TIC</t>
  </si>
  <si>
    <t>4. Creando crecimiento y empleo</t>
  </si>
  <si>
    <t>Promedio subdimensión aritmético</t>
  </si>
  <si>
    <t>Promedio subdimensión geométrico</t>
  </si>
  <si>
    <t>Promedio indicador aritmético</t>
  </si>
  <si>
    <t>Promedio indicador geométrico</t>
  </si>
  <si>
    <t>Promedio dimensión aritmético</t>
  </si>
  <si>
    <t>Promedio dimensión geométrico</t>
  </si>
  <si>
    <t>Prom aritmético</t>
  </si>
  <si>
    <t>Prom geométrico</t>
  </si>
  <si>
    <t>Igual peso dimensiones</t>
  </si>
  <si>
    <t>Indice ED</t>
  </si>
  <si>
    <t>D1 (30) D2(30) D3 (30) D4 (10)</t>
  </si>
  <si>
    <t>D1 (35) D2(35) D3 (15) D4 (15)</t>
  </si>
  <si>
    <t>D1 (40) D2(40) D3 (10) D4 (10)</t>
  </si>
  <si>
    <t>D1 (35) D2(40) D3 (15) D4 (10)</t>
  </si>
  <si>
    <t>Computador de escritorio</t>
  </si>
  <si>
    <t>1.8.6 Adopción de prácticas seguras por los usuarios de Internet</t>
  </si>
  <si>
    <t>2.2 Actividades Online</t>
  </si>
  <si>
    <t>2.5.2 Penetración de VOD</t>
  </si>
  <si>
    <t>2.5 Adopción de servicios de video OTT</t>
  </si>
  <si>
    <t>2.6 Consumo de contenido local</t>
  </si>
  <si>
    <t xml:space="preserve">2.12.5 Empresas usando servicios de E-government </t>
  </si>
  <si>
    <t>3.1.2 Innovación en la industria de servicios TIC</t>
  </si>
  <si>
    <t>3.1.6 Recursos públicos destinados a la innovación en la industria de servicios TIC</t>
  </si>
  <si>
    <t>Servicios</t>
  </si>
  <si>
    <t>Promedio ponderado indicador aritmético</t>
  </si>
  <si>
    <t>Promedio ponderado indicador geométrico</t>
  </si>
  <si>
    <t>promedio ponderado servicio aritmético</t>
  </si>
  <si>
    <t>promedio ponderado servicio geométrico</t>
  </si>
  <si>
    <t>Recibir pedidos por Internet</t>
  </si>
  <si>
    <t>Hacer pedidos por Internet</t>
  </si>
  <si>
    <t>promedio ponderado sector aritmético</t>
  </si>
  <si>
    <t>promedio ponderado sector geométrico</t>
  </si>
  <si>
    <t>4.2 Dinámica de los negocios TIC</t>
  </si>
  <si>
    <t>4.5 Comercio electrónico (E-commerce)</t>
  </si>
  <si>
    <t>4.6.5 Investigadores en las industrias de manufactura TIC</t>
  </si>
  <si>
    <t>4.6.5 Investigadores en las industrias de servicios TIC</t>
  </si>
  <si>
    <t>4.8 Competitividad del comercio</t>
  </si>
  <si>
    <t>4.8.1 Exportaciones de productos TIC</t>
  </si>
  <si>
    <t>4.8.2 Exportaciones de servicios TIC</t>
  </si>
  <si>
    <t>Inverso</t>
  </si>
  <si>
    <t>Categorías</t>
  </si>
  <si>
    <t>Promedio dimensión aritmético sin algunas variables</t>
  </si>
  <si>
    <t>Promedio dimensión geométrico sin algunas variables</t>
  </si>
  <si>
    <t>Ponderado diferentes pesos</t>
  </si>
  <si>
    <t>2.4 Uso redes sociales</t>
  </si>
  <si>
    <t>D1 (35) D2(35) D3 (20) D4 (10)</t>
  </si>
  <si>
    <t>D1 (30) D2(30) D3 (20) D4 (20)</t>
  </si>
  <si>
    <t>3.1 (30) 3.2(40) 3.4 (30)</t>
  </si>
  <si>
    <t>3.1 (30) 3.2(45) 3.4 (25)</t>
  </si>
  <si>
    <t>4.2 (20) 4.5 (40) 4.6 (20) 4.8 (20)</t>
  </si>
  <si>
    <t>4.2 (10) 4.5 (40) 4.6 (30) 4.8 (20)</t>
  </si>
  <si>
    <t>Pesos iguales</t>
  </si>
  <si>
    <t>Pesos diferentes D3 y D4</t>
  </si>
  <si>
    <t>IED</t>
  </si>
  <si>
    <t>RESULTADOS INDICADOR DEFINIDO</t>
  </si>
  <si>
    <t>Dimensión</t>
  </si>
  <si>
    <t>Subdimensión</t>
  </si>
  <si>
    <t>Peso dimensión (%)</t>
  </si>
  <si>
    <t>Peso subdimensión (%)</t>
  </si>
  <si>
    <t>ÍNDICE ECONOMÍA DIGITAL (IED) - Nivel país</t>
  </si>
  <si>
    <t>ÍNDICE ECONOMÍA DIGITAL (IED) - Nivel Regional</t>
  </si>
  <si>
    <t>Indicadores</t>
  </si>
  <si>
    <t>ESTIMACIÓN ÍNDICE DE ECONOMÍA DIGITAL - NACIONAL</t>
  </si>
  <si>
    <t>ESTIMACIÓN ÍNDICE DE ECONOMÍA DIGITAL -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</si>
</sst>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0.0000"/>
    <numFmt numFmtId="166" formatCode="_-* #,##0.000_-;\-* #,##0.000_-;_-* &quot;-&quot;??_-;_-@_-"/>
    <numFmt numFmtId="167" formatCode="_-* #,##0.0000_-;\-* #,##0.0000_-;_-* &quot;-&quot;??_-;_-@_-"/>
    <numFmt numFmtId="168" formatCode="_-* #,##0.00000_-;\-* #,##0.00000_-;_-* &quot;-&quot;??_-;_-@_-"/>
    <numFmt numFmtId="169" formatCode="_-* #,##0.0_-;\-* #,##0.0_-;_-* &quot;-&quot;??_-;_-@_-"/>
    <numFmt numFmtId="170" formatCode="0.0"/>
    <numFmt numFmtId="171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18"/>
      <color theme="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D6BCEA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27F94A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31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Border="1"/>
    <xf numFmtId="9" fontId="4" fillId="0" borderId="0" xfId="0" applyNumberFormat="1" applyFont="1" applyBorder="1"/>
    <xf numFmtId="0" fontId="6" fillId="0" borderId="0" xfId="0" applyFont="1" applyFill="1" applyBorder="1"/>
    <xf numFmtId="3" fontId="4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vertical="center" wrapText="1"/>
    </xf>
    <xf numFmtId="43" fontId="4" fillId="0" borderId="0" xfId="3" applyFont="1" applyFill="1" applyBorder="1" applyAlignment="1">
      <alignment vertical="top" wrapText="1"/>
    </xf>
    <xf numFmtId="43" fontId="5" fillId="0" borderId="0" xfId="3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66" fontId="4" fillId="0" borderId="0" xfId="0" applyNumberFormat="1" applyFont="1"/>
    <xf numFmtId="164" fontId="4" fillId="0" borderId="0" xfId="0" applyNumberFormat="1" applyFont="1"/>
    <xf numFmtId="43" fontId="4" fillId="0" borderId="0" xfId="3" applyFont="1" applyFill="1" applyBorder="1"/>
    <xf numFmtId="43" fontId="4" fillId="0" borderId="0" xfId="3" applyFont="1" applyBorder="1"/>
    <xf numFmtId="43" fontId="4" fillId="0" borderId="0" xfId="3" applyFont="1" applyFill="1"/>
    <xf numFmtId="43" fontId="4" fillId="0" borderId="0" xfId="3" applyFont="1" applyFill="1" applyBorder="1" applyAlignment="1">
      <alignment horizontal="center" vertical="center" wrapText="1"/>
    </xf>
    <xf numFmtId="43" fontId="5" fillId="0" borderId="0" xfId="3" applyFont="1" applyBorder="1" applyAlignment="1">
      <alignment horizontal="right" vertical="center"/>
    </xf>
    <xf numFmtId="43" fontId="4" fillId="0" borderId="0" xfId="3" applyFont="1"/>
    <xf numFmtId="43" fontId="4" fillId="0" borderId="0" xfId="3" applyFont="1" applyFill="1" applyBorder="1" applyAlignment="1">
      <alignment horizontal="right" wrapText="1"/>
    </xf>
    <xf numFmtId="43" fontId="4" fillId="0" borderId="0" xfId="3" applyFont="1" applyFill="1" applyBorder="1" applyAlignment="1">
      <alignment vertical="center" wrapText="1"/>
    </xf>
    <xf numFmtId="43" fontId="6" fillId="0" borderId="0" xfId="3" applyFont="1" applyFill="1" applyBorder="1" applyAlignment="1">
      <alignment horizontal="center" vertical="center" wrapText="1"/>
    </xf>
    <xf numFmtId="43" fontId="6" fillId="0" borderId="0" xfId="3" applyFont="1" applyFill="1" applyBorder="1" applyAlignment="1">
      <alignment vertical="center" wrapText="1"/>
    </xf>
    <xf numFmtId="43" fontId="4" fillId="0" borderId="0" xfId="0" applyNumberFormat="1" applyFont="1" applyFill="1"/>
    <xf numFmtId="43" fontId="4" fillId="0" borderId="0" xfId="0" applyNumberFormat="1" applyFont="1"/>
    <xf numFmtId="0" fontId="4" fillId="13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43" fontId="4" fillId="0" borderId="0" xfId="3" applyFont="1" applyFill="1" applyBorder="1" applyAlignment="1">
      <alignment horizontal="right" vertical="center" wrapText="1"/>
    </xf>
    <xf numFmtId="43" fontId="4" fillId="0" borderId="0" xfId="3" applyFont="1" applyFill="1" applyAlignment="1">
      <alignment horizontal="right"/>
    </xf>
    <xf numFmtId="0" fontId="4" fillId="2" borderId="9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Border="1"/>
    <xf numFmtId="9" fontId="4" fillId="0" borderId="5" xfId="0" applyNumberFormat="1" applyFont="1" applyBorder="1"/>
    <xf numFmtId="0" fontId="6" fillId="0" borderId="5" xfId="0" applyFont="1" applyFill="1" applyBorder="1"/>
    <xf numFmtId="3" fontId="4" fillId="0" borderId="5" xfId="0" applyNumberFormat="1" applyFont="1" applyBorder="1"/>
    <xf numFmtId="0" fontId="4" fillId="8" borderId="7" xfId="0" applyFont="1" applyFill="1" applyBorder="1" applyAlignment="1">
      <alignment horizontal="center" vertical="center" wrapText="1"/>
    </xf>
    <xf numFmtId="164" fontId="4" fillId="0" borderId="5" xfId="1" applyNumberFormat="1" applyFont="1" applyBorder="1"/>
    <xf numFmtId="10" fontId="4" fillId="0" borderId="5" xfId="1" applyNumberFormat="1" applyFont="1" applyBorder="1"/>
    <xf numFmtId="164" fontId="4" fillId="0" borderId="7" xfId="1" applyNumberFormat="1" applyFont="1" applyBorder="1"/>
    <xf numFmtId="10" fontId="4" fillId="3" borderId="5" xfId="1" applyNumberFormat="1" applyFont="1" applyFill="1" applyBorder="1"/>
    <xf numFmtId="10" fontId="4" fillId="6" borderId="5" xfId="1" applyNumberFormat="1" applyFont="1" applyFill="1" applyBorder="1"/>
    <xf numFmtId="0" fontId="4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10" fontId="4" fillId="4" borderId="5" xfId="1" applyNumberFormat="1" applyFont="1" applyFill="1" applyBorder="1"/>
    <xf numFmtId="10" fontId="4" fillId="19" borderId="5" xfId="1" applyNumberFormat="1" applyFont="1" applyFill="1" applyBorder="1"/>
    <xf numFmtId="0" fontId="4" fillId="0" borderId="5" xfId="0" applyFont="1" applyFill="1" applyBorder="1" applyAlignment="1">
      <alignment horizontal="center" vertical="center" wrapText="1"/>
    </xf>
    <xf numFmtId="164" fontId="4" fillId="6" borderId="5" xfId="1" applyNumberFormat="1" applyFont="1" applyFill="1" applyBorder="1"/>
    <xf numFmtId="164" fontId="4" fillId="3" borderId="5" xfId="1" applyNumberFormat="1" applyFont="1" applyFill="1" applyBorder="1"/>
    <xf numFmtId="164" fontId="4" fillId="4" borderId="5" xfId="1" applyNumberFormat="1" applyFont="1" applyFill="1" applyBorder="1"/>
    <xf numFmtId="164" fontId="4" fillId="19" borderId="5" xfId="1" applyNumberFormat="1" applyFont="1" applyFill="1" applyBorder="1"/>
    <xf numFmtId="0" fontId="4" fillId="0" borderId="7" xfId="0" applyFont="1" applyFill="1" applyBorder="1" applyAlignment="1">
      <alignment horizontal="center" vertical="center" wrapText="1"/>
    </xf>
    <xf numFmtId="10" fontId="4" fillId="0" borderId="7" xfId="1" applyNumberFormat="1" applyFont="1" applyBorder="1"/>
    <xf numFmtId="10" fontId="4" fillId="6" borderId="7" xfId="1" applyNumberFormat="1" applyFont="1" applyFill="1" applyBorder="1"/>
    <xf numFmtId="10" fontId="4" fillId="4" borderId="7" xfId="1" applyNumberFormat="1" applyFont="1" applyFill="1" applyBorder="1"/>
    <xf numFmtId="10" fontId="4" fillId="3" borderId="7" xfId="1" applyNumberFormat="1" applyFont="1" applyFill="1" applyBorder="1"/>
    <xf numFmtId="10" fontId="4" fillId="19" borderId="7" xfId="1" applyNumberFormat="1" applyFont="1" applyFill="1" applyBorder="1"/>
    <xf numFmtId="0" fontId="4" fillId="0" borderId="8" xfId="0" applyFont="1" applyBorder="1" applyAlignment="1">
      <alignment horizontal="center" vertical="center" wrapText="1"/>
    </xf>
    <xf numFmtId="10" fontId="4" fillId="0" borderId="8" xfId="1" applyNumberFormat="1" applyFont="1" applyBorder="1"/>
    <xf numFmtId="10" fontId="4" fillId="6" borderId="8" xfId="1" applyNumberFormat="1" applyFont="1" applyFill="1" applyBorder="1"/>
    <xf numFmtId="10" fontId="4" fillId="19" borderId="8" xfId="1" applyNumberFormat="1" applyFont="1" applyFill="1" applyBorder="1"/>
    <xf numFmtId="10" fontId="4" fillId="3" borderId="8" xfId="1" applyNumberFormat="1" applyFont="1" applyFill="1" applyBorder="1"/>
    <xf numFmtId="10" fontId="4" fillId="4" borderId="8" xfId="1" applyNumberFormat="1" applyFont="1" applyFill="1" applyBorder="1"/>
    <xf numFmtId="10" fontId="4" fillId="0" borderId="13" xfId="1" applyNumberFormat="1" applyFont="1" applyBorder="1"/>
    <xf numFmtId="164" fontId="4" fillId="6" borderId="7" xfId="1" applyNumberFormat="1" applyFont="1" applyFill="1" applyBorder="1"/>
    <xf numFmtId="164" fontId="4" fillId="19" borderId="7" xfId="1" applyNumberFormat="1" applyFont="1" applyFill="1" applyBorder="1"/>
    <xf numFmtId="164" fontId="4" fillId="4" borderId="7" xfId="1" applyNumberFormat="1" applyFont="1" applyFill="1" applyBorder="1"/>
    <xf numFmtId="164" fontId="4" fillId="3" borderId="7" xfId="1" applyNumberFormat="1" applyFont="1" applyFill="1" applyBorder="1"/>
    <xf numFmtId="0" fontId="4" fillId="2" borderId="5" xfId="0" applyFont="1" applyFill="1" applyBorder="1" applyAlignment="1">
      <alignment horizontal="center" vertical="center" wrapText="1"/>
    </xf>
    <xf numFmtId="165" fontId="4" fillId="0" borderId="5" xfId="0" applyNumberFormat="1" applyFont="1" applyBorder="1"/>
    <xf numFmtId="0" fontId="4" fillId="12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19" borderId="5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wrapText="1"/>
    </xf>
    <xf numFmtId="0" fontId="4" fillId="17" borderId="5" xfId="0" applyFont="1" applyFill="1" applyBorder="1" applyAlignment="1">
      <alignment vertical="center"/>
    </xf>
    <xf numFmtId="0" fontId="3" fillId="16" borderId="5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167" fontId="4" fillId="0" borderId="0" xfId="3" applyNumberFormat="1" applyFont="1" applyFill="1" applyBorder="1"/>
    <xf numFmtId="167" fontId="4" fillId="0" borderId="0" xfId="3" applyNumberFormat="1" applyFont="1" applyBorder="1"/>
    <xf numFmtId="167" fontId="4" fillId="0" borderId="0" xfId="3" applyNumberFormat="1" applyFont="1" applyFill="1"/>
    <xf numFmtId="167" fontId="4" fillId="0" borderId="0" xfId="3" applyNumberFormat="1" applyFont="1" applyFill="1" applyBorder="1" applyAlignment="1">
      <alignment horizontal="center" vertical="center" wrapText="1"/>
    </xf>
    <xf numFmtId="167" fontId="5" fillId="0" borderId="0" xfId="3" applyNumberFormat="1" applyFont="1" applyBorder="1" applyAlignment="1">
      <alignment horizontal="right" vertical="center"/>
    </xf>
    <xf numFmtId="167" fontId="5" fillId="0" borderId="0" xfId="3" applyNumberFormat="1" applyFont="1" applyFill="1" applyBorder="1" applyAlignment="1">
      <alignment horizontal="right" vertical="center"/>
    </xf>
    <xf numFmtId="167" fontId="5" fillId="9" borderId="0" xfId="3" applyNumberFormat="1" applyFont="1" applyFill="1" applyBorder="1" applyAlignment="1">
      <alignment horizontal="right" vertical="center"/>
    </xf>
    <xf numFmtId="167" fontId="4" fillId="0" borderId="0" xfId="3" applyNumberFormat="1" applyFont="1"/>
    <xf numFmtId="167" fontId="4" fillId="0" borderId="0" xfId="3" applyNumberFormat="1" applyFont="1" applyFill="1" applyBorder="1" applyAlignment="1">
      <alignment vertical="top" wrapText="1"/>
    </xf>
    <xf numFmtId="167" fontId="4" fillId="0" borderId="0" xfId="3" applyNumberFormat="1" applyFont="1" applyFill="1" applyBorder="1" applyAlignment="1">
      <alignment vertical="center" wrapText="1"/>
    </xf>
    <xf numFmtId="167" fontId="6" fillId="0" borderId="0" xfId="3" applyNumberFormat="1" applyFont="1" applyFill="1" applyBorder="1" applyAlignment="1">
      <alignment horizontal="center" vertical="center" wrapText="1"/>
    </xf>
    <xf numFmtId="167" fontId="6" fillId="0" borderId="0" xfId="3" applyNumberFormat="1" applyFont="1" applyFill="1" applyBorder="1" applyAlignment="1">
      <alignment vertical="center" wrapText="1"/>
    </xf>
    <xf numFmtId="0" fontId="4" fillId="20" borderId="0" xfId="0" applyFont="1" applyFill="1" applyBorder="1" applyAlignment="1">
      <alignment vertical="center" wrapText="1"/>
    </xf>
    <xf numFmtId="0" fontId="4" fillId="20" borderId="0" xfId="0" applyFont="1" applyFill="1" applyBorder="1" applyAlignment="1">
      <alignment horizontal="center" vertical="center" wrapText="1"/>
    </xf>
    <xf numFmtId="165" fontId="4" fillId="20" borderId="0" xfId="0" applyNumberFormat="1" applyFont="1" applyFill="1" applyBorder="1" applyAlignment="1">
      <alignment vertical="center" wrapText="1"/>
    </xf>
    <xf numFmtId="0" fontId="4" fillId="20" borderId="0" xfId="0" applyFont="1" applyFill="1"/>
    <xf numFmtId="165" fontId="4" fillId="0" borderId="0" xfId="0" applyNumberFormat="1" applyFont="1" applyFill="1"/>
    <xf numFmtId="10" fontId="4" fillId="0" borderId="0" xfId="0" applyNumberFormat="1" applyFont="1"/>
    <xf numFmtId="10" fontId="4" fillId="20" borderId="0" xfId="0" applyNumberFormat="1" applyFont="1" applyFill="1"/>
    <xf numFmtId="10" fontId="4" fillId="20" borderId="0" xfId="1" applyNumberFormat="1" applyFont="1" applyFill="1"/>
    <xf numFmtId="2" fontId="4" fillId="20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/>
    <xf numFmtId="0" fontId="4" fillId="18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168" fontId="5" fillId="0" borderId="0" xfId="3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/>
    <xf numFmtId="0" fontId="4" fillId="12" borderId="7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165" fontId="4" fillId="0" borderId="8" xfId="0" applyNumberFormat="1" applyFont="1" applyBorder="1"/>
    <xf numFmtId="0" fontId="4" fillId="18" borderId="12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165" fontId="4" fillId="0" borderId="14" xfId="0" applyNumberFormat="1" applyFont="1" applyBorder="1"/>
    <xf numFmtId="165" fontId="4" fillId="0" borderId="15" xfId="0" applyNumberFormat="1" applyFont="1" applyBorder="1"/>
    <xf numFmtId="165" fontId="4" fillId="0" borderId="7" xfId="0" applyNumberFormat="1" applyFont="1" applyBorder="1"/>
    <xf numFmtId="0" fontId="4" fillId="12" borderId="8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18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43" fontId="4" fillId="0" borderId="5" xfId="3" applyFont="1" applyBorder="1"/>
    <xf numFmtId="43" fontId="4" fillId="0" borderId="7" xfId="3" applyFont="1" applyBorder="1"/>
    <xf numFmtId="169" fontId="4" fillId="0" borderId="5" xfId="3" applyNumberFormat="1" applyFont="1" applyBorder="1"/>
    <xf numFmtId="169" fontId="4" fillId="7" borderId="18" xfId="3" applyNumberFormat="1" applyFont="1" applyFill="1" applyBorder="1"/>
    <xf numFmtId="2" fontId="4" fillId="0" borderId="0" xfId="0" applyNumberFormat="1" applyFont="1"/>
    <xf numFmtId="167" fontId="4" fillId="12" borderId="5" xfId="0" applyNumberFormat="1" applyFont="1" applyFill="1" applyBorder="1" applyAlignment="1">
      <alignment horizontal="center" vertical="center" wrapText="1"/>
    </xf>
    <xf numFmtId="167" fontId="4" fillId="12" borderId="7" xfId="0" applyNumberFormat="1" applyFont="1" applyFill="1" applyBorder="1" applyAlignment="1">
      <alignment horizontal="center" vertical="center" wrapText="1"/>
    </xf>
    <xf numFmtId="169" fontId="4" fillId="0" borderId="5" xfId="0" applyNumberFormat="1" applyFont="1" applyBorder="1"/>
    <xf numFmtId="169" fontId="4" fillId="0" borderId="5" xfId="0" applyNumberFormat="1" applyFont="1" applyFill="1" applyBorder="1"/>
    <xf numFmtId="169" fontId="4" fillId="0" borderId="7" xfId="0" applyNumberFormat="1" applyFont="1" applyBorder="1"/>
    <xf numFmtId="169" fontId="4" fillId="0" borderId="7" xfId="3" applyNumberFormat="1" applyFont="1" applyBorder="1"/>
    <xf numFmtId="43" fontId="4" fillId="6" borderId="5" xfId="3" applyNumberFormat="1" applyFont="1" applyFill="1" applyBorder="1"/>
    <xf numFmtId="43" fontId="4" fillId="4" borderId="5" xfId="3" applyNumberFormat="1" applyFont="1" applyFill="1" applyBorder="1"/>
    <xf numFmtId="43" fontId="4" fillId="19" borderId="5" xfId="3" applyNumberFormat="1" applyFont="1" applyFill="1" applyBorder="1"/>
    <xf numFmtId="43" fontId="4" fillId="3" borderId="5" xfId="3" applyNumberFormat="1" applyFont="1" applyFill="1" applyBorder="1"/>
    <xf numFmtId="169" fontId="4" fillId="3" borderId="7" xfId="3" applyNumberFormat="1" applyFont="1" applyFill="1" applyBorder="1"/>
    <xf numFmtId="169" fontId="4" fillId="4" borderId="7" xfId="3" applyNumberFormat="1" applyFont="1" applyFill="1" applyBorder="1"/>
    <xf numFmtId="169" fontId="4" fillId="19" borderId="7" xfId="3" applyNumberFormat="1" applyFont="1" applyFill="1" applyBorder="1"/>
    <xf numFmtId="169" fontId="4" fillId="6" borderId="7" xfId="3" applyNumberFormat="1" applyFont="1" applyFill="1" applyBorder="1"/>
    <xf numFmtId="169" fontId="4" fillId="3" borderId="5" xfId="3" applyNumberFormat="1" applyFont="1" applyFill="1" applyBorder="1"/>
    <xf numFmtId="169" fontId="4" fillId="4" borderId="5" xfId="3" applyNumberFormat="1" applyFont="1" applyFill="1" applyBorder="1"/>
    <xf numFmtId="169" fontId="4" fillId="6" borderId="5" xfId="3" applyNumberFormat="1" applyFont="1" applyFill="1" applyBorder="1"/>
    <xf numFmtId="169" fontId="4" fillId="19" borderId="5" xfId="3" applyNumberFormat="1" applyFont="1" applyFill="1" applyBorder="1"/>
    <xf numFmtId="166" fontId="4" fillId="0" borderId="5" xfId="3" applyNumberFormat="1" applyFont="1" applyBorder="1"/>
    <xf numFmtId="170" fontId="4" fillId="0" borderId="0" xfId="0" applyNumberFormat="1" applyFont="1"/>
    <xf numFmtId="170" fontId="4" fillId="0" borderId="5" xfId="0" applyNumberFormat="1" applyFont="1" applyBorder="1"/>
    <xf numFmtId="0" fontId="7" fillId="19" borderId="5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 wrapText="1"/>
    </xf>
    <xf numFmtId="0" fontId="7" fillId="23" borderId="5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 wrapText="1"/>
    </xf>
    <xf numFmtId="170" fontId="7" fillId="26" borderId="5" xfId="0" applyNumberFormat="1" applyFont="1" applyFill="1" applyBorder="1" applyAlignment="1">
      <alignment horizontal="center" vertical="center"/>
    </xf>
    <xf numFmtId="1" fontId="7" fillId="26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10" fontId="4" fillId="7" borderId="12" xfId="1" applyNumberFormat="1" applyFont="1" applyFill="1" applyBorder="1"/>
    <xf numFmtId="0" fontId="4" fillId="0" borderId="18" xfId="0" applyFont="1" applyFill="1" applyBorder="1"/>
    <xf numFmtId="0" fontId="4" fillId="20" borderId="0" xfId="0" applyFont="1" applyFill="1" applyBorder="1" applyAlignment="1">
      <alignment vertical="center"/>
    </xf>
    <xf numFmtId="171" fontId="4" fillId="0" borderId="0" xfId="0" applyNumberFormat="1" applyFont="1"/>
    <xf numFmtId="167" fontId="4" fillId="0" borderId="0" xfId="3" applyNumberFormat="1" applyFont="1" applyFill="1" applyBorder="1" applyAlignment="1">
      <alignment horizontal="right" wrapText="1"/>
    </xf>
    <xf numFmtId="167" fontId="4" fillId="0" borderId="0" xfId="3" applyNumberFormat="1" applyFont="1" applyFill="1" applyBorder="1" applyAlignment="1">
      <alignment horizontal="right" vertical="center" wrapText="1"/>
    </xf>
    <xf numFmtId="167" fontId="4" fillId="0" borderId="0" xfId="3" applyNumberFormat="1" applyFont="1" applyFill="1" applyAlignment="1">
      <alignment horizontal="right"/>
    </xf>
    <xf numFmtId="169" fontId="4" fillId="21" borderId="5" xfId="3" applyNumberFormat="1" applyFont="1" applyFill="1" applyBorder="1"/>
    <xf numFmtId="167" fontId="4" fillId="28" borderId="0" xfId="3" applyNumberFormat="1" applyFont="1" applyFill="1" applyBorder="1" applyAlignment="1">
      <alignment vertical="center" wrapText="1"/>
    </xf>
    <xf numFmtId="167" fontId="5" fillId="28" borderId="0" xfId="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18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0" fontId="7" fillId="26" borderId="19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20" borderId="19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7" fillId="23" borderId="19" xfId="0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4" fillId="27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 wrapText="1"/>
    </xf>
    <xf numFmtId="0" fontId="4" fillId="27" borderId="7" xfId="0" applyFont="1" applyFill="1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8" borderId="8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vertical="center"/>
    </xf>
    <xf numFmtId="0" fontId="10" fillId="0" borderId="0" xfId="0" applyFont="1"/>
  </cellXfs>
  <cellStyles count="4">
    <cellStyle name="Millares" xfId="3" builtinId="3"/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27F94A"/>
      <color rgb="FFE2D0F0"/>
      <color rgb="FFD6BCEA"/>
      <color rgb="FFBA8CDC"/>
      <color rgb="FF8F45C7"/>
      <color rgb="FF9900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Nacional!$A$63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rgbClr val="99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DC-4246-8986-F5B71E64654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DC-4246-8986-F5B71E64654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FDC-4246-8986-F5B71E6465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FDC-4246-8986-F5B71E64654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Nacional!$B$62:$F$62</c:f>
              <c:strCache>
                <c:ptCount val="5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  <c:pt idx="4">
                  <c:v>IED</c:v>
                </c:pt>
              </c:strCache>
            </c:strRef>
          </c:cat>
          <c:val>
            <c:numRef>
              <c:f>Nacional!$B$63:$F$63</c:f>
              <c:numCache>
                <c:formatCode>_-* #,##0.0_-;\-* #,##0.0_-;_-* "-"??_-;_-@_-</c:formatCode>
                <c:ptCount val="5"/>
                <c:pt idx="0">
                  <c:v>48.0925298292089</c:v>
                </c:pt>
                <c:pt idx="1">
                  <c:v>33.466462192983201</c:v>
                </c:pt>
                <c:pt idx="2">
                  <c:v>28.675121696983364</c:v>
                </c:pt>
                <c:pt idx="3">
                  <c:v>29.525555840011918</c:v>
                </c:pt>
                <c:pt idx="4">
                  <c:v>34.94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C-4246-8986-F5B71E6465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96107247"/>
        <c:axId val="501248879"/>
      </c:barChart>
      <c:catAx>
        <c:axId val="49610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501248879"/>
        <c:crosses val="autoZero"/>
        <c:auto val="0"/>
        <c:lblAlgn val="ctr"/>
        <c:lblOffset val="100"/>
        <c:noMultiLvlLbl val="0"/>
      </c:catAx>
      <c:valAx>
        <c:axId val="501248879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49610724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Regional!$A$121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Regional!$B$117:$E$117</c:f>
              <c:strCache>
                <c:ptCount val="4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</c:strCache>
            </c:strRef>
          </c:cat>
          <c:val>
            <c:numRef>
              <c:f>Regional!$B$121:$E$121</c:f>
              <c:numCache>
                <c:formatCode>_-* #,##0.0_-;\-* #,##0.0_-;_-* "-"??_-;_-@_-</c:formatCode>
                <c:ptCount val="4"/>
                <c:pt idx="0">
                  <c:v>10.005570795317466</c:v>
                </c:pt>
                <c:pt idx="1">
                  <c:v>29.777865882546408</c:v>
                </c:pt>
                <c:pt idx="2">
                  <c:v>15.954126727384752</c:v>
                </c:pt>
                <c:pt idx="3">
                  <c:v>3.3045423283716611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4-4152-970A-977CD7A45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833871"/>
        <c:axId val="2102651711"/>
      </c:radarChart>
      <c:catAx>
        <c:axId val="211483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2651711"/>
        <c:crosses val="autoZero"/>
        <c:auto val="1"/>
        <c:lblAlgn val="ctr"/>
        <c:lblOffset val="100"/>
        <c:noMultiLvlLbl val="0"/>
      </c:catAx>
      <c:valAx>
        <c:axId val="21026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483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Regional!$A$122</c:f>
              <c:strCache>
                <c:ptCount val="1"/>
                <c:pt idx="0">
                  <c:v>ANTIOQUIA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Regional!$B$117:$E$117</c:f>
              <c:strCache>
                <c:ptCount val="4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</c:strCache>
            </c:strRef>
          </c:cat>
          <c:val>
            <c:numRef>
              <c:f>Regional!$B$122:$E$122</c:f>
              <c:numCache>
                <c:formatCode>_-* #,##0.0_-;\-* #,##0.0_-;_-* "-"??_-;_-@_-</c:formatCode>
                <c:ptCount val="4"/>
                <c:pt idx="0">
                  <c:v>10.776312505723103</c:v>
                </c:pt>
                <c:pt idx="1">
                  <c:v>30.232202469277748</c:v>
                </c:pt>
                <c:pt idx="2">
                  <c:v>10.045629363875843</c:v>
                </c:pt>
                <c:pt idx="3">
                  <c:v>5.3768020235080263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E-4A9B-BF51-1A4245F2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720031"/>
        <c:axId val="501862719"/>
      </c:radarChart>
      <c:catAx>
        <c:axId val="49372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1862719"/>
        <c:crosses val="autoZero"/>
        <c:auto val="1"/>
        <c:lblAlgn val="ctr"/>
        <c:lblOffset val="100"/>
        <c:noMultiLvlLbl val="0"/>
      </c:catAx>
      <c:valAx>
        <c:axId val="50186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72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Regional!$A$148:$A$155</c:f>
              <c:strCache>
                <c:ptCount val="8"/>
                <c:pt idx="0">
                  <c:v>ORINOQUÍA - AMAZONÍA</c:v>
                </c:pt>
                <c:pt idx="1">
                  <c:v>PACÍFICA</c:v>
                </c:pt>
                <c:pt idx="2">
                  <c:v>CARIBE</c:v>
                </c:pt>
                <c:pt idx="3">
                  <c:v>CENTRAL</c:v>
                </c:pt>
                <c:pt idx="4">
                  <c:v>ANTIOQUIA</c:v>
                </c:pt>
                <c:pt idx="5">
                  <c:v>ORIENTAL</c:v>
                </c:pt>
                <c:pt idx="6">
                  <c:v>VALLE DEL CAUCA</c:v>
                </c:pt>
                <c:pt idx="7">
                  <c:v>BOGOTÁ D.C.</c:v>
                </c:pt>
              </c:strCache>
            </c:strRef>
          </c:cat>
          <c:val>
            <c:numRef>
              <c:f>Regional!$B$148:$B$155</c:f>
              <c:numCache>
                <c:formatCode>_-* #,##0.0_-;\-* #,##0.0_-;_-* "-"??_-;_-@_-</c:formatCode>
                <c:ptCount val="8"/>
                <c:pt idx="0">
                  <c:v>27.658240277352508</c:v>
                </c:pt>
                <c:pt idx="1">
                  <c:v>28.264653942729151</c:v>
                </c:pt>
                <c:pt idx="2">
                  <c:v>29.583453330828608</c:v>
                </c:pt>
                <c:pt idx="3">
                  <c:v>29.777865882546408</c:v>
                </c:pt>
                <c:pt idx="4">
                  <c:v>30.232202469277748</c:v>
                </c:pt>
                <c:pt idx="5">
                  <c:v>30.994819956710739</c:v>
                </c:pt>
                <c:pt idx="6">
                  <c:v>34.360880930172577</c:v>
                </c:pt>
                <c:pt idx="7">
                  <c:v>41.856704945272732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2-42B6-AAFE-56F2E4000B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00395647"/>
        <c:axId val="604696271"/>
      </c:barChart>
      <c:catAx>
        <c:axId val="600395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04696271"/>
        <c:crosses val="autoZero"/>
        <c:auto val="1"/>
        <c:lblAlgn val="ctr"/>
        <c:lblOffset val="100"/>
        <c:noMultiLvlLbl val="0"/>
      </c:catAx>
      <c:valAx>
        <c:axId val="604696271"/>
        <c:scaling>
          <c:orientation val="minMax"/>
          <c:max val="50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0039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Regional!$K$133</c:f>
              <c:strCache>
                <c:ptCount val="1"/>
                <c:pt idx="0">
                  <c:v>Indice 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Regional!$J$134:$J$141</c:f>
              <c:strCache>
                <c:ptCount val="8"/>
                <c:pt idx="0">
                  <c:v>BOGOTÁ D.C.</c:v>
                </c:pt>
                <c:pt idx="1">
                  <c:v>VALLE DEL CAUCA</c:v>
                </c:pt>
                <c:pt idx="2">
                  <c:v>ANTIOQUIA</c:v>
                </c:pt>
                <c:pt idx="3">
                  <c:v>CENTRAL</c:v>
                </c:pt>
                <c:pt idx="4">
                  <c:v>CARIBE</c:v>
                </c:pt>
                <c:pt idx="5">
                  <c:v>ORIENTAL</c:v>
                </c:pt>
                <c:pt idx="6">
                  <c:v>PACÍFICA</c:v>
                </c:pt>
                <c:pt idx="7">
                  <c:v>ORINOQUÍA - AMAZONÍA</c:v>
                </c:pt>
              </c:strCache>
            </c:strRef>
          </c:cat>
          <c:val>
            <c:numRef>
              <c:f>Regional!$K$134:$K$141</c:f>
              <c:numCache>
                <c:formatCode>_(* #,##0.00_);_(* \(#,##0.00\);_(* "-"??_);_(@_)</c:formatCode>
                <c:ptCount val="8"/>
                <c:pt idx="0">
                  <c:v>26.838391402571894</c:v>
                </c:pt>
                <c:pt idx="1">
                  <c:v>17.314832558237669</c:v>
                </c:pt>
                <c:pt idx="2">
                  <c:v>15.080859902989385</c:v>
                </c:pt>
                <c:pt idx="3">
                  <c:v>14.516188903328947</c:v>
                </c:pt>
                <c:pt idx="4">
                  <c:v>13.286896879257462</c:v>
                </c:pt>
                <c:pt idx="5">
                  <c:v>12.808274942352471</c:v>
                </c:pt>
                <c:pt idx="6">
                  <c:v>12.181265062479946</c:v>
                </c:pt>
                <c:pt idx="7">
                  <c:v>10.927537859557068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F-4CFC-879F-8ACEDFE8BE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00417279"/>
        <c:axId val="1331952175"/>
      </c:barChart>
      <c:catAx>
        <c:axId val="60041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1331952175"/>
        <c:crosses val="autoZero"/>
        <c:auto val="1"/>
        <c:lblAlgn val="ctr"/>
        <c:lblOffset val="100"/>
        <c:noMultiLvlLbl val="0"/>
      </c:catAx>
      <c:valAx>
        <c:axId val="1331952175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60041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Regional!$A$166:$A$173</c:f>
              <c:strCache>
                <c:ptCount val="8"/>
                <c:pt idx="0">
                  <c:v>ANTIOQUIA</c:v>
                </c:pt>
                <c:pt idx="1">
                  <c:v>ORINOQUÍA - AMAZONÍA</c:v>
                </c:pt>
                <c:pt idx="2">
                  <c:v>CENTRAL</c:v>
                </c:pt>
                <c:pt idx="3">
                  <c:v>VALLE DEL CAUCA</c:v>
                </c:pt>
                <c:pt idx="4">
                  <c:v>CARIBE</c:v>
                </c:pt>
                <c:pt idx="5">
                  <c:v>BOGOTÁ D.C.</c:v>
                </c:pt>
                <c:pt idx="6">
                  <c:v>ORIENTAL</c:v>
                </c:pt>
                <c:pt idx="7">
                  <c:v>PACÍFICA</c:v>
                </c:pt>
              </c:strCache>
            </c:strRef>
          </c:cat>
          <c:val>
            <c:numRef>
              <c:f>Regional!$B$166:$B$173</c:f>
              <c:numCache>
                <c:formatCode>_-* #,##0.0_-;\-* #,##0.0_-;_-* "-"??_-;_-@_-</c:formatCode>
                <c:ptCount val="8"/>
                <c:pt idx="0">
                  <c:v>10.045629363875843</c:v>
                </c:pt>
                <c:pt idx="1">
                  <c:v>12.031462205882915</c:v>
                </c:pt>
                <c:pt idx="2">
                  <c:v>15.954126727384752</c:v>
                </c:pt>
                <c:pt idx="3">
                  <c:v>16.184082075800855</c:v>
                </c:pt>
                <c:pt idx="4">
                  <c:v>17.448600864801119</c:v>
                </c:pt>
                <c:pt idx="5">
                  <c:v>19.75790877558558</c:v>
                </c:pt>
                <c:pt idx="6">
                  <c:v>19.821952207960198</c:v>
                </c:pt>
                <c:pt idx="7">
                  <c:v>22.406067442659246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4-4787-A803-8ED47BD5DD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00416863"/>
        <c:axId val="1331961247"/>
      </c:barChart>
      <c:catAx>
        <c:axId val="600416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1331961247"/>
        <c:crosses val="autoZero"/>
        <c:auto val="1"/>
        <c:lblAlgn val="ctr"/>
        <c:lblOffset val="100"/>
        <c:noMultiLvlLbl val="0"/>
      </c:catAx>
      <c:valAx>
        <c:axId val="1331961247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0041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Regional!$A$183:$A$190</c:f>
              <c:strCache>
                <c:ptCount val="8"/>
                <c:pt idx="0">
                  <c:v>CENTRAL</c:v>
                </c:pt>
                <c:pt idx="1">
                  <c:v>CARIBE</c:v>
                </c:pt>
                <c:pt idx="2">
                  <c:v>ORIENTAL</c:v>
                </c:pt>
                <c:pt idx="3">
                  <c:v>PACÍFICA</c:v>
                </c:pt>
                <c:pt idx="4">
                  <c:v>ORINOQUÍA - AMAZONÍA</c:v>
                </c:pt>
                <c:pt idx="5">
                  <c:v>ANTIOQUIA</c:v>
                </c:pt>
                <c:pt idx="6">
                  <c:v>VALLE DEL CAUCA</c:v>
                </c:pt>
                <c:pt idx="7">
                  <c:v>BOGOTÁ D.C.</c:v>
                </c:pt>
              </c:strCache>
            </c:strRef>
          </c:cat>
          <c:val>
            <c:numRef>
              <c:f>Regional!$B$183:$B$190</c:f>
              <c:numCache>
                <c:formatCode>_-* #,##0.0_-;\-* #,##0.0_-;_-* "-"??_-;_-@_-</c:formatCode>
                <c:ptCount val="8"/>
                <c:pt idx="0">
                  <c:v>3.3045423283716611</c:v>
                </c:pt>
                <c:pt idx="1">
                  <c:v>3.7749172176353749</c:v>
                </c:pt>
                <c:pt idx="2">
                  <c:v>4.4988887516807967</c:v>
                </c:pt>
                <c:pt idx="3">
                  <c:v>4.6733285782191691</c:v>
                </c:pt>
                <c:pt idx="4">
                  <c:v>4.8321837713398281</c:v>
                </c:pt>
                <c:pt idx="5">
                  <c:v>5.3768020235080263</c:v>
                </c:pt>
                <c:pt idx="6">
                  <c:v>7.5119904153293486</c:v>
                </c:pt>
                <c:pt idx="7">
                  <c:v>19.133217188962238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F-49A9-8677-84376E122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00395231"/>
        <c:axId val="1595998991"/>
      </c:barChart>
      <c:catAx>
        <c:axId val="600395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1595998991"/>
        <c:crosses val="autoZero"/>
        <c:auto val="1"/>
        <c:lblAlgn val="ctr"/>
        <c:lblOffset val="100"/>
        <c:noMultiLvlLbl val="0"/>
      </c:catAx>
      <c:valAx>
        <c:axId val="1595998991"/>
        <c:scaling>
          <c:orientation val="minMax"/>
          <c:max val="20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00395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Regional!$H$39</c:f>
              <c:strCache>
                <c:ptCount val="1"/>
                <c:pt idx="0">
                  <c:v>BOGOTÁ D.C.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Regional!$I$38:$L$38</c:f>
              <c:strCache>
                <c:ptCount val="4"/>
                <c:pt idx="0">
                  <c:v>1.1 Penetración de Internet banda ancha</c:v>
                </c:pt>
                <c:pt idx="1">
                  <c:v>1.4 Calidad de Internet</c:v>
                </c:pt>
                <c:pt idx="2">
                  <c:v>1.7 Dispositivos TIC y aplicaciones</c:v>
                </c:pt>
                <c:pt idx="3">
                  <c:v>1.8 Seguridad y privacidad</c:v>
                </c:pt>
              </c:strCache>
            </c:strRef>
          </c:cat>
          <c:val>
            <c:numRef>
              <c:f>Regional!$I$39:$L$39</c:f>
              <c:numCache>
                <c:formatCode>0.0</c:formatCode>
                <c:ptCount val="4"/>
                <c:pt idx="0">
                  <c:v>21.62</c:v>
                </c:pt>
                <c:pt idx="1">
                  <c:v>6.1</c:v>
                </c:pt>
                <c:pt idx="2">
                  <c:v>25.862451614828704</c:v>
                </c:pt>
                <c:pt idx="3">
                  <c:v>48.991471296151602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8-42E9-A958-F871EF5E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226751"/>
        <c:axId val="2096205983"/>
      </c:radarChart>
      <c:catAx>
        <c:axId val="209922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2096205983"/>
        <c:crosses val="autoZero"/>
        <c:auto val="1"/>
        <c:lblAlgn val="ctr"/>
        <c:lblOffset val="100"/>
        <c:noMultiLvlLbl val="0"/>
      </c:catAx>
      <c:valAx>
        <c:axId val="209620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209922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64590465555437"/>
          <c:y val="0.17047111776763557"/>
          <c:w val="0.49075802561157578"/>
          <c:h val="0.66381740433776015"/>
        </c:manualLayout>
      </c:layout>
      <c:radarChart>
        <c:radarStyle val="marker"/>
        <c:varyColors val="0"/>
        <c:ser>
          <c:idx val="0"/>
          <c:order val="0"/>
          <c:tx>
            <c:strRef>
              <c:f>Regional!$L$53</c:f>
              <c:strCache>
                <c:ptCount val="1"/>
                <c:pt idx="0">
                  <c:v>BOGOTÁ D.C.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Regional!$M$52:$U$52</c:f>
              <c:strCache>
                <c:ptCount val="9"/>
                <c:pt idx="0">
                  <c:v>2.1 Usuarios de Internet</c:v>
                </c:pt>
                <c:pt idx="1">
                  <c:v>2.2 Actividades online</c:v>
                </c:pt>
                <c:pt idx="2">
                  <c:v>2.4 Uso de redes sociales</c:v>
                </c:pt>
                <c:pt idx="3">
                  <c:v>2.7 Cuidado niños online</c:v>
                </c:pt>
                <c:pt idx="4">
                  <c:v>2.8 TIC en Educación</c:v>
                </c:pt>
                <c:pt idx="5">
                  <c:v>2.9 Habilidades TIC</c:v>
                </c:pt>
                <c:pt idx="6">
                  <c:v>2.10 Uso de las TIC en el trabajo</c:v>
                </c:pt>
                <c:pt idx="7">
                  <c:v>2.11 Consumidores electrónicos (E-consumers)</c:v>
                </c:pt>
                <c:pt idx="8">
                  <c:v>2.12 Uso del Gobierno Digital</c:v>
                </c:pt>
              </c:strCache>
            </c:strRef>
          </c:cat>
          <c:val>
            <c:numRef>
              <c:f>Regional!$M$53:$U$53</c:f>
              <c:numCache>
                <c:formatCode>0.0</c:formatCode>
                <c:ptCount val="9"/>
                <c:pt idx="0">
                  <c:v>50.925059484878709</c:v>
                </c:pt>
                <c:pt idx="1">
                  <c:v>24.495119109158274</c:v>
                </c:pt>
                <c:pt idx="2">
                  <c:v>40.356712813257758</c:v>
                </c:pt>
                <c:pt idx="3">
                  <c:v>42.4</c:v>
                </c:pt>
                <c:pt idx="4">
                  <c:v>65.988815121732685</c:v>
                </c:pt>
                <c:pt idx="5">
                  <c:v>75.071286644516519</c:v>
                </c:pt>
                <c:pt idx="6">
                  <c:v>3.8</c:v>
                </c:pt>
                <c:pt idx="7">
                  <c:v>23.841479610880477</c:v>
                </c:pt>
                <c:pt idx="8">
                  <c:v>33.47469590748527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1-4AAB-9A9D-9A6BD1F1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683743"/>
        <c:axId val="833408847"/>
      </c:radarChart>
      <c:catAx>
        <c:axId val="83068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833408847"/>
        <c:crosses val="autoZero"/>
        <c:auto val="1"/>
        <c:lblAlgn val="ctr"/>
        <c:lblOffset val="100"/>
        <c:noMultiLvlLbl val="0"/>
      </c:catAx>
      <c:valAx>
        <c:axId val="8334088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830683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Regional!$E$66</c:f>
              <c:strCache>
                <c:ptCount val="1"/>
                <c:pt idx="0">
                  <c:v>BOGOTÁ D.C.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Regional!$D$67</c:f>
              <c:strCache>
                <c:ptCount val="1"/>
                <c:pt idx="0">
                  <c:v>3.2 Negocios electrónicos (E-business)</c:v>
                </c:pt>
              </c:strCache>
            </c:strRef>
          </c:cat>
          <c:val>
            <c:numRef>
              <c:f>Regional!$E$67</c:f>
              <c:numCache>
                <c:formatCode>0.0</c:formatCode>
                <c:ptCount val="1"/>
                <c:pt idx="0">
                  <c:v>17.715868176174503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8-4884-9955-2A35683ACF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30684575"/>
        <c:axId val="1860494191"/>
      </c:barChart>
      <c:catAx>
        <c:axId val="83068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1860494191"/>
        <c:crosses val="autoZero"/>
        <c:auto val="1"/>
        <c:lblAlgn val="ctr"/>
        <c:lblOffset val="100"/>
        <c:noMultiLvlLbl val="0"/>
      </c:catAx>
      <c:valAx>
        <c:axId val="1860494191"/>
        <c:scaling>
          <c:orientation val="minMax"/>
          <c:max val="50"/>
          <c:min val="0"/>
        </c:scaling>
        <c:delete val="1"/>
        <c:axPos val="l"/>
        <c:numFmt formatCode="0.0" sourceLinked="1"/>
        <c:majorTickMark val="none"/>
        <c:minorTickMark val="none"/>
        <c:tickLblPos val="nextTo"/>
        <c:crossAx val="830684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Regional!$E$79</c:f>
              <c:strCache>
                <c:ptCount val="1"/>
                <c:pt idx="0">
                  <c:v>BOGOTÁ D.C.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Regional!$D$80</c:f>
              <c:strCache>
                <c:ptCount val="1"/>
                <c:pt idx="0">
                  <c:v>4.6 Capital humano TIC</c:v>
                </c:pt>
              </c:strCache>
            </c:strRef>
          </c:cat>
          <c:val>
            <c:numRef>
              <c:f>Regional!$E$80</c:f>
              <c:numCache>
                <c:formatCode>0.0</c:formatCode>
                <c:ptCount val="1"/>
                <c:pt idx="0">
                  <c:v>19.133217188962202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1-4471-8B62-7C402E1FB4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40373727"/>
        <c:axId val="842592367"/>
      </c:barChart>
      <c:catAx>
        <c:axId val="84037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842592367"/>
        <c:crosses val="autoZero"/>
        <c:auto val="1"/>
        <c:lblAlgn val="ctr"/>
        <c:lblOffset val="100"/>
        <c:noMultiLvlLbl val="0"/>
      </c:catAx>
      <c:valAx>
        <c:axId val="842592367"/>
        <c:scaling>
          <c:orientation val="minMax"/>
          <c:max val="50"/>
        </c:scaling>
        <c:delete val="1"/>
        <c:axPos val="l"/>
        <c:numFmt formatCode="0.0" sourceLinked="1"/>
        <c:majorTickMark val="none"/>
        <c:minorTickMark val="none"/>
        <c:tickLblPos val="nextTo"/>
        <c:crossAx val="84037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03237095362"/>
          <c:y val="0.19308727034120735"/>
          <c:w val="0.39607327209098864"/>
          <c:h val="0.66345581802274711"/>
        </c:manualLayout>
      </c:layout>
      <c:radarChart>
        <c:radarStyle val="marker"/>
        <c:varyColors val="0"/>
        <c:ser>
          <c:idx val="0"/>
          <c:order val="0"/>
          <c:tx>
            <c:strRef>
              <c:f>Nacional!$A$60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Nacional!$B$59:$G$59</c:f>
              <c:strCache>
                <c:ptCount val="6"/>
                <c:pt idx="0">
                  <c:v>1.1 Penetración de Internet banda ancha</c:v>
                </c:pt>
                <c:pt idx="1">
                  <c:v>1.4 Calidad de Internet</c:v>
                </c:pt>
                <c:pt idx="2">
                  <c:v>1.5 Cobertura de Internet de banda ancha</c:v>
                </c:pt>
                <c:pt idx="3">
                  <c:v>1.6 Precios para conectividad</c:v>
                </c:pt>
                <c:pt idx="4">
                  <c:v>1.7 Dispositivos TIC y aplicaciones</c:v>
                </c:pt>
                <c:pt idx="5">
                  <c:v>1.8 Seguridad y privacidad</c:v>
                </c:pt>
              </c:strCache>
            </c:strRef>
          </c:cat>
          <c:val>
            <c:numRef>
              <c:f>Nacional!$B$60:$G$60</c:f>
              <c:numCache>
                <c:formatCode>_-* #,##0.0_-;\-* #,##0.0_-;_-* "-"??_-;_-@_-</c:formatCode>
                <c:ptCount val="6"/>
                <c:pt idx="0">
                  <c:v>29.459999999999997</c:v>
                </c:pt>
                <c:pt idx="1">
                  <c:v>1.76</c:v>
                </c:pt>
                <c:pt idx="2">
                  <c:v>96</c:v>
                </c:pt>
                <c:pt idx="3">
                  <c:v>75.649999999999991</c:v>
                </c:pt>
                <c:pt idx="4">
                  <c:v>26.783512308586932</c:v>
                </c:pt>
                <c:pt idx="5">
                  <c:v>58.901666666666699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9-4668-BBD8-465C32BD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175471"/>
        <c:axId val="496552351"/>
      </c:radarChart>
      <c:catAx>
        <c:axId val="49317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496552351"/>
        <c:crosses val="autoZero"/>
        <c:auto val="1"/>
        <c:lblAlgn val="ctr"/>
        <c:lblOffset val="100"/>
        <c:noMultiLvlLbl val="0"/>
      </c:catAx>
      <c:valAx>
        <c:axId val="49655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493175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93695218020196"/>
          <c:y val="0.12845323108723034"/>
          <c:w val="0.44203086570660122"/>
          <c:h val="0.75235673426102667"/>
        </c:manualLayout>
      </c:layout>
      <c:radarChart>
        <c:radarStyle val="marker"/>
        <c:varyColors val="0"/>
        <c:ser>
          <c:idx val="0"/>
          <c:order val="0"/>
          <c:tx>
            <c:strRef>
              <c:f>Nacional!$A$60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Nacional!$H$59:$S$59</c:f>
              <c:strCache>
                <c:ptCount val="12"/>
                <c:pt idx="0">
                  <c:v>2.1 Usuarios de Internet</c:v>
                </c:pt>
                <c:pt idx="1">
                  <c:v>2.2 Actividades online</c:v>
                </c:pt>
                <c:pt idx="2">
                  <c:v>2.4 Uso de redes sociales</c:v>
                </c:pt>
                <c:pt idx="3">
                  <c:v>2.5 Adopción de servicios de video OTT</c:v>
                </c:pt>
                <c:pt idx="4">
                  <c:v>2.6 Consumo de contenido local</c:v>
                </c:pt>
                <c:pt idx="5">
                  <c:v>2.7 Cuidado niños online</c:v>
                </c:pt>
                <c:pt idx="6">
                  <c:v>2.8 TIC en Educación</c:v>
                </c:pt>
                <c:pt idx="7">
                  <c:v>2.9 Habilidades TIC</c:v>
                </c:pt>
                <c:pt idx="8">
                  <c:v>2.10 Uso de las TIC en el trabajo</c:v>
                </c:pt>
                <c:pt idx="9">
                  <c:v>2.11 Consumidores electrónicos (E-consumers)</c:v>
                </c:pt>
                <c:pt idx="10">
                  <c:v>2.12 Uso del Gobierno Digital</c:v>
                </c:pt>
                <c:pt idx="11">
                  <c:v>2.13 TIC y salud</c:v>
                </c:pt>
              </c:strCache>
            </c:strRef>
          </c:cat>
          <c:val>
            <c:numRef>
              <c:f>Nacional!$H$60:$S$60</c:f>
              <c:numCache>
                <c:formatCode>_-* #,##0.0_-;\-* #,##0.0_-;_-* "-"??_-;_-@_-</c:formatCode>
                <c:ptCount val="12"/>
                <c:pt idx="0">
                  <c:v>46.28</c:v>
                </c:pt>
                <c:pt idx="1">
                  <c:v>33.39</c:v>
                </c:pt>
                <c:pt idx="2">
                  <c:v>48.92444404016311</c:v>
                </c:pt>
                <c:pt idx="3">
                  <c:v>2.42</c:v>
                </c:pt>
                <c:pt idx="4">
                  <c:v>17.440000000000001</c:v>
                </c:pt>
                <c:pt idx="5">
                  <c:v>38.1</c:v>
                </c:pt>
                <c:pt idx="6">
                  <c:v>40.54023936446039</c:v>
                </c:pt>
                <c:pt idx="7">
                  <c:v>67.759999999999991</c:v>
                </c:pt>
                <c:pt idx="8">
                  <c:v>4.07</c:v>
                </c:pt>
                <c:pt idx="9">
                  <c:v>17.802575766527649</c:v>
                </c:pt>
                <c:pt idx="10">
                  <c:v>42.970287144646704</c:v>
                </c:pt>
                <c:pt idx="11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5-4032-95EE-9035F7EA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64527"/>
        <c:axId val="501256655"/>
      </c:radarChart>
      <c:catAx>
        <c:axId val="50066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501256655"/>
        <c:crosses val="autoZero"/>
        <c:auto val="1"/>
        <c:lblAlgn val="ctr"/>
        <c:lblOffset val="100"/>
        <c:noMultiLvlLbl val="0"/>
      </c:catAx>
      <c:valAx>
        <c:axId val="501256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500664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9903762029744"/>
          <c:y val="0.13699839603382907"/>
          <c:w val="0.49115748031496065"/>
          <c:h val="0.81859580052493441"/>
        </c:manualLayout>
      </c:layout>
      <c:radarChart>
        <c:radarStyle val="marker"/>
        <c:varyColors val="0"/>
        <c:ser>
          <c:idx val="0"/>
          <c:order val="0"/>
          <c:tx>
            <c:strRef>
              <c:f>Nacional!$A$60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Nacional!$T$59:$V$59</c:f>
              <c:strCache>
                <c:ptCount val="3"/>
                <c:pt idx="0">
                  <c:v>3.1 Innovación en industrias TIC</c:v>
                </c:pt>
                <c:pt idx="1">
                  <c:v>3.2 Negocios electrónicos (E-business)</c:v>
                </c:pt>
                <c:pt idx="2">
                  <c:v>3.4 Propiedad Intelectual</c:v>
                </c:pt>
              </c:strCache>
            </c:strRef>
          </c:cat>
          <c:val>
            <c:numRef>
              <c:f>Nacional!$T$60:$V$60</c:f>
              <c:numCache>
                <c:formatCode>_-* #,##0.0_-;\-* #,##0.0_-;_-* "-"??_-;_-@_-</c:formatCode>
                <c:ptCount val="3"/>
                <c:pt idx="0">
                  <c:v>20.737783746556474</c:v>
                </c:pt>
                <c:pt idx="1">
                  <c:v>47.88446643254106</c:v>
                </c:pt>
                <c:pt idx="2">
                  <c:v>11.000000000000002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0-4027-A04A-13B52835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176719"/>
        <c:axId val="2117905247"/>
      </c:radarChart>
      <c:catAx>
        <c:axId val="49317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2117905247"/>
        <c:crosses val="autoZero"/>
        <c:auto val="1"/>
        <c:lblAlgn val="ctr"/>
        <c:lblOffset val="100"/>
        <c:noMultiLvlLbl val="0"/>
      </c:catAx>
      <c:valAx>
        <c:axId val="21179052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49317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67147856517933"/>
          <c:y val="0.15037839020122484"/>
          <c:w val="0.43065704286964129"/>
          <c:h val="0.7177617381160688"/>
        </c:manualLayout>
      </c:layout>
      <c:radarChart>
        <c:radarStyle val="marker"/>
        <c:varyColors val="0"/>
        <c:ser>
          <c:idx val="0"/>
          <c:order val="0"/>
          <c:tx>
            <c:strRef>
              <c:f>Nacional!$A$60</c:f>
              <c:strCache>
                <c:ptCount val="1"/>
                <c:pt idx="0">
                  <c:v>NACIONAL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Nacional!$W$59:$Z$59</c:f>
              <c:strCache>
                <c:ptCount val="4"/>
                <c:pt idx="0">
                  <c:v> 4.2 Dinámica de los negocios TIC </c:v>
                </c:pt>
                <c:pt idx="1">
                  <c:v> 4.5 Comercio electrónico (E-commerce) </c:v>
                </c:pt>
                <c:pt idx="2">
                  <c:v> 4.6 Capital humano TIC </c:v>
                </c:pt>
                <c:pt idx="3">
                  <c:v> 4.8 Competitividad del comercio </c:v>
                </c:pt>
              </c:strCache>
            </c:strRef>
          </c:cat>
          <c:val>
            <c:numRef>
              <c:f>Nacional!$W$60:$Z$60</c:f>
              <c:numCache>
                <c:formatCode>_-* #,##0.0_-;\-* #,##0.0_-;_-* "-"??_-;_-@_-</c:formatCode>
                <c:ptCount val="4"/>
                <c:pt idx="0">
                  <c:v>28.499999999999996</c:v>
                </c:pt>
                <c:pt idx="1">
                  <c:v>36.332785507152984</c:v>
                </c:pt>
                <c:pt idx="2">
                  <c:v>34.852583234946877</c:v>
                </c:pt>
                <c:pt idx="3">
                  <c:v>8.4333333333333336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9-4914-A6FF-55798BF2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46223"/>
        <c:axId val="596567151"/>
      </c:radarChart>
      <c:catAx>
        <c:axId val="50064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596567151"/>
        <c:crosses val="autoZero"/>
        <c:auto val="1"/>
        <c:lblAlgn val="ctr"/>
        <c:lblOffset val="100"/>
        <c:noMultiLvlLbl val="0"/>
      </c:catAx>
      <c:valAx>
        <c:axId val="5965671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50064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Regional!$A$118</c:f>
              <c:strCache>
                <c:ptCount val="1"/>
                <c:pt idx="0">
                  <c:v>BOGOTÁ D.C.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Regional!$B$117:$E$117</c:f>
              <c:strCache>
                <c:ptCount val="4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</c:strCache>
            </c:strRef>
          </c:cat>
          <c:val>
            <c:numRef>
              <c:f>Regional!$B$118:$E$118</c:f>
              <c:numCache>
                <c:formatCode>_-* #,##0.0_-;\-* #,##0.0_-;_-* "-"??_-;_-@_-</c:formatCode>
                <c:ptCount val="4"/>
                <c:pt idx="0">
                  <c:v>20.218266861424528</c:v>
                </c:pt>
                <c:pt idx="1">
                  <c:v>41.856704945272732</c:v>
                </c:pt>
                <c:pt idx="2">
                  <c:v>19.75790877558558</c:v>
                </c:pt>
                <c:pt idx="3">
                  <c:v>19.133217188962238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5-4A46-BC04-A60AF2FA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42063"/>
        <c:axId val="2102654303"/>
      </c:radarChart>
      <c:catAx>
        <c:axId val="50064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2654303"/>
        <c:crosses val="autoZero"/>
        <c:auto val="1"/>
        <c:lblAlgn val="ctr"/>
        <c:lblOffset val="100"/>
        <c:noMultiLvlLbl val="0"/>
      </c:catAx>
      <c:valAx>
        <c:axId val="210265430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64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Regional!$A$119</c:f>
              <c:strCache>
                <c:ptCount val="1"/>
                <c:pt idx="0">
                  <c:v>ORIENTAL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Regional!$B$117:$E$117</c:f>
              <c:strCache>
                <c:ptCount val="4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</c:strCache>
            </c:strRef>
          </c:cat>
          <c:val>
            <c:numRef>
              <c:f>Regional!$B$119:$E$119</c:f>
              <c:numCache>
                <c:formatCode>_-* #,##0.0_-;\-* #,##0.0_-;_-* "-"??_-;_-@_-</c:formatCode>
                <c:ptCount val="4"/>
                <c:pt idx="0">
                  <c:v>6.1641694149632258</c:v>
                </c:pt>
                <c:pt idx="1">
                  <c:v>30.994819956710739</c:v>
                </c:pt>
                <c:pt idx="2">
                  <c:v>19.821952207960198</c:v>
                </c:pt>
                <c:pt idx="3">
                  <c:v>4.4988887516807967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F-46E5-9978-A02B1CAB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49967"/>
        <c:axId val="491837471"/>
      </c:radarChart>
      <c:catAx>
        <c:axId val="50064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837471"/>
        <c:crosses val="autoZero"/>
        <c:auto val="1"/>
        <c:lblAlgn val="ctr"/>
        <c:lblOffset val="100"/>
        <c:noMultiLvlLbl val="0"/>
      </c:catAx>
      <c:valAx>
        <c:axId val="4918374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649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Regional!$A$131:$A$138</c:f>
              <c:strCache>
                <c:ptCount val="8"/>
                <c:pt idx="0">
                  <c:v>ORINOQUÍA - AMAZONÍA</c:v>
                </c:pt>
                <c:pt idx="1">
                  <c:v>PACÍFICA</c:v>
                </c:pt>
                <c:pt idx="2">
                  <c:v>ORIENTAL</c:v>
                </c:pt>
                <c:pt idx="3">
                  <c:v>CARIBE</c:v>
                </c:pt>
                <c:pt idx="4">
                  <c:v>CENTRAL</c:v>
                </c:pt>
                <c:pt idx="5">
                  <c:v>ANTIOQUIA</c:v>
                </c:pt>
                <c:pt idx="6">
                  <c:v>VALLE DEL CAUCA</c:v>
                </c:pt>
                <c:pt idx="7">
                  <c:v>BOGOTÁ D.C.</c:v>
                </c:pt>
              </c:strCache>
            </c:strRef>
          </c:cat>
          <c:val>
            <c:numRef>
              <c:f>Regional!$B$131:$B$138</c:f>
              <c:numCache>
                <c:formatCode>_-* #,##0.0_-;\-* #,##0.0_-;_-* "-"??_-;_-@_-</c:formatCode>
                <c:ptCount val="8"/>
                <c:pt idx="0">
                  <c:v>5.1685151184480675</c:v>
                </c:pt>
                <c:pt idx="1">
                  <c:v>5.7278194804069136</c:v>
                </c:pt>
                <c:pt idx="2">
                  <c:v>6.1641694149632258</c:v>
                </c:pt>
                <c:pt idx="3">
                  <c:v>7.635597591933954</c:v>
                </c:pt>
                <c:pt idx="4">
                  <c:v>10.005570795317466</c:v>
                </c:pt>
                <c:pt idx="5">
                  <c:v>10.776312505723103</c:v>
                </c:pt>
                <c:pt idx="6">
                  <c:v>10.933788690159293</c:v>
                </c:pt>
                <c:pt idx="7">
                  <c:v>20.218266861424528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3-417E-B224-F0409DCC23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00406047"/>
        <c:axId val="678472991"/>
      </c:barChart>
      <c:catAx>
        <c:axId val="600406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78472991"/>
        <c:crosses val="autoZero"/>
        <c:auto val="1"/>
        <c:lblAlgn val="ctr"/>
        <c:lblOffset val="100"/>
        <c:noMultiLvlLbl val="0"/>
      </c:catAx>
      <c:valAx>
        <c:axId val="678472991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O"/>
          </a:p>
        </c:txPr>
        <c:crossAx val="60040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Regional!$A$120</c:f>
              <c:strCache>
                <c:ptCount val="1"/>
                <c:pt idx="0">
                  <c:v>ORINOQUÍA - AMAZONÍA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Regional!$B$117:$E$117</c:f>
              <c:strCache>
                <c:ptCount val="4"/>
                <c:pt idx="0">
                  <c:v>1. Invirtiendo en infraestructura inteligente</c:v>
                </c:pt>
                <c:pt idx="1">
                  <c:v>2. Empoderando a la sociedad</c:v>
                </c:pt>
                <c:pt idx="2">
                  <c:v>3. Desencadenando la creatividad y la innovación</c:v>
                </c:pt>
                <c:pt idx="3">
                  <c:v>4. Creando crecimiento y empleo</c:v>
                </c:pt>
              </c:strCache>
            </c:strRef>
          </c:cat>
          <c:val>
            <c:numRef>
              <c:f>Regional!$B$120:$E$120</c:f>
              <c:numCache>
                <c:formatCode>_-* #,##0.0_-;\-* #,##0.0_-;_-* "-"??_-;_-@_-</c:formatCode>
                <c:ptCount val="4"/>
                <c:pt idx="0">
                  <c:v>5.1685151184480675</c:v>
                </c:pt>
                <c:pt idx="1">
                  <c:v>27.658240277352508</c:v>
                </c:pt>
                <c:pt idx="2">
                  <c:v>12.031462205882915</c:v>
                </c:pt>
                <c:pt idx="3">
                  <c:v>4.8321837713398281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6-4FD6-8238-F138190B3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68687"/>
        <c:axId val="2106528383"/>
      </c:radarChart>
      <c:catAx>
        <c:axId val="50066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6528383"/>
        <c:crosses val="autoZero"/>
        <c:auto val="1"/>
        <c:lblAlgn val="ctr"/>
        <c:lblOffset val="100"/>
        <c:noMultiLvlLbl val="0"/>
      </c:catAx>
      <c:valAx>
        <c:axId val="210652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66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5" Type="http://schemas.openxmlformats.org/officeDocument/2006/relationships/image" Target="../media/image1.png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1481667</xdr:colOff>
      <xdr:row>65</xdr:row>
      <xdr:rowOff>73024</xdr:rowOff>
    </xdr:from>
    <xdr:to>
      <xdr:col>5</xdr:col>
      <xdr:colOff>127000</xdr:colOff>
      <xdr:row>82</xdr:row>
      <xdr:rowOff>117474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DEA748-A1DA-42F8-8F15-68AD91CE3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772584</xdr:colOff>
      <xdr:row>63</xdr:row>
      <xdr:rowOff>83608</xdr:rowOff>
    </xdr:from>
    <xdr:to>
      <xdr:col>11</xdr:col>
      <xdr:colOff>222251</xdr:colOff>
      <xdr:row>80</xdr:row>
      <xdr:rowOff>64558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897D8D-F3FE-4190-B31E-B43A0F03A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349248</xdr:colOff>
      <xdr:row>63</xdr:row>
      <xdr:rowOff>94192</xdr:rowOff>
    </xdr:from>
    <xdr:to>
      <xdr:col>17</xdr:col>
      <xdr:colOff>444499</xdr:colOff>
      <xdr:row>80</xdr:row>
      <xdr:rowOff>74084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8B3E09-EC89-44A2-B4A2-0BA8E231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783168</xdr:colOff>
      <xdr:row>81</xdr:row>
      <xdr:rowOff>115359</xdr:rowOff>
    </xdr:from>
    <xdr:to>
      <xdr:col>11</xdr:col>
      <xdr:colOff>232835</xdr:colOff>
      <xdr:row>99</xdr:row>
      <xdr:rowOff>1059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4904106-EB83-4DE7-9DE7-048AD3D93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391584</xdr:colOff>
      <xdr:row>81</xdr:row>
      <xdr:rowOff>125942</xdr:rowOff>
    </xdr:from>
    <xdr:to>
      <xdr:col>17</xdr:col>
      <xdr:colOff>391584</xdr:colOff>
      <xdr:row>99</xdr:row>
      <xdr:rowOff>11642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D21EB34-1EEE-47D2-9974-7DB42CBA2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130969</xdr:colOff>
      <xdr:row>0</xdr:row>
      <xdr:rowOff>71438</xdr:rowOff>
    </xdr:from>
    <xdr:to>
      <xdr:col>0</xdr:col>
      <xdr:colOff>1607344</xdr:colOff>
      <xdr:row>4</xdr:row>
      <xdr:rowOff>74594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D78DA2B-CD1F-4C39-885E-0518751A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71438"/>
          <a:ext cx="1476375" cy="788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433916</xdr:colOff>
      <xdr:row>97</xdr:row>
      <xdr:rowOff>20107</xdr:rowOff>
    </xdr:from>
    <xdr:to>
      <xdr:col>17</xdr:col>
      <xdr:colOff>306916</xdr:colOff>
      <xdr:row>114</xdr:row>
      <xdr:rowOff>11640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E3304C-67F3-499B-A3E2-EE315C637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465667</xdr:colOff>
      <xdr:row>115</xdr:row>
      <xdr:rowOff>147107</xdr:rowOff>
    </xdr:from>
    <xdr:to>
      <xdr:col>17</xdr:col>
      <xdr:colOff>338667</xdr:colOff>
      <xdr:row>130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D8CF248-3447-4A2E-9F3A-DE966F3BD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354542</xdr:colOff>
      <xdr:row>128</xdr:row>
      <xdr:rowOff>20108</xdr:rowOff>
    </xdr:from>
    <xdr:to>
      <xdr:col>6</xdr:col>
      <xdr:colOff>724959</xdr:colOff>
      <xdr:row>142</xdr:row>
      <xdr:rowOff>53975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3ECBCC3-6F45-4F47-ABBA-5B8B67285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116</xdr:row>
      <xdr:rowOff>0</xdr:rowOff>
    </xdr:from>
    <xdr:to>
      <xdr:col>23</xdr:col>
      <xdr:colOff>486833</xdr:colOff>
      <xdr:row>129</xdr:row>
      <xdr:rowOff>351367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1D10E3E-194A-4CA4-B4ED-395D04492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116</xdr:row>
      <xdr:rowOff>0</xdr:rowOff>
    </xdr:from>
    <xdr:to>
      <xdr:col>31</xdr:col>
      <xdr:colOff>201084</xdr:colOff>
      <xdr:row>129</xdr:row>
      <xdr:rowOff>351367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EA46139-8308-4008-9336-431D2F6BC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116</xdr:row>
      <xdr:rowOff>0</xdr:rowOff>
    </xdr:from>
    <xdr:to>
      <xdr:col>39</xdr:col>
      <xdr:colOff>105834</xdr:colOff>
      <xdr:row>129</xdr:row>
      <xdr:rowOff>351367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AC34C8B-1F51-44D7-AEFE-43C1D7E10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423333</xdr:colOff>
      <xdr:row>144</xdr:row>
      <xdr:rowOff>51858</xdr:rowOff>
    </xdr:from>
    <xdr:to>
      <xdr:col>6</xdr:col>
      <xdr:colOff>793750</xdr:colOff>
      <xdr:row>160</xdr:row>
      <xdr:rowOff>85724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FE037A-BB9B-49A0-A2E8-AF7244E4F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645583</xdr:colOff>
      <xdr:row>131</xdr:row>
      <xdr:rowOff>73025</xdr:rowOff>
    </xdr:from>
    <xdr:to>
      <xdr:col>16</xdr:col>
      <xdr:colOff>444500</xdr:colOff>
      <xdr:row>147</xdr:row>
      <xdr:rowOff>106891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C5C446B-522A-4DE1-A37B-F5E25C7CD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666750</xdr:colOff>
      <xdr:row>162</xdr:row>
      <xdr:rowOff>73024</xdr:rowOff>
    </xdr:from>
    <xdr:to>
      <xdr:col>7</xdr:col>
      <xdr:colOff>222250</xdr:colOff>
      <xdr:row>177</xdr:row>
      <xdr:rowOff>106891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46FF768-9F9B-4F55-9C67-A8CD5CC3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878417</xdr:colOff>
      <xdr:row>181</xdr:row>
      <xdr:rowOff>30691</xdr:rowOff>
    </xdr:from>
    <xdr:to>
      <xdr:col>6</xdr:col>
      <xdr:colOff>709084</xdr:colOff>
      <xdr:row>197</xdr:row>
      <xdr:rowOff>64558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839BE2D5-5143-4229-97A4-8F4A58F71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169333</xdr:colOff>
      <xdr:row>35</xdr:row>
      <xdr:rowOff>0</xdr:rowOff>
    </xdr:from>
    <xdr:to>
      <xdr:col>15</xdr:col>
      <xdr:colOff>486834</xdr:colOff>
      <xdr:row>49</xdr:row>
      <xdr:rowOff>64557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9C4B40-ABEC-47F8-8245-E1A7735C8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698501</xdr:colOff>
      <xdr:row>54</xdr:row>
      <xdr:rowOff>125941</xdr:rowOff>
    </xdr:from>
    <xdr:to>
      <xdr:col>17</xdr:col>
      <xdr:colOff>656166</xdr:colOff>
      <xdr:row>67</xdr:row>
      <xdr:rowOff>74084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F28ACF-21E9-4CFC-BA72-F38BF9CED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21167</xdr:colOff>
      <xdr:row>64</xdr:row>
      <xdr:rowOff>243415</xdr:rowOff>
    </xdr:from>
    <xdr:to>
      <xdr:col>10</xdr:col>
      <xdr:colOff>328083</xdr:colOff>
      <xdr:row>76</xdr:row>
      <xdr:rowOff>75140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067271B-1573-410F-AEDD-5E1FE856F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370418</xdr:colOff>
      <xdr:row>78</xdr:row>
      <xdr:rowOff>83608</xdr:rowOff>
    </xdr:from>
    <xdr:to>
      <xdr:col>12</xdr:col>
      <xdr:colOff>169334</xdr:colOff>
      <xdr:row>92</xdr:row>
      <xdr:rowOff>53975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F84E05B-9489-47BC-BD0D-AD771A9F1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107156</xdr:colOff>
      <xdr:row>0</xdr:row>
      <xdr:rowOff>47626</xdr:rowOff>
    </xdr:from>
    <xdr:to>
      <xdr:col>0</xdr:col>
      <xdr:colOff>1583531</xdr:colOff>
      <xdr:row>4</xdr:row>
      <xdr:rowOff>50782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390A06C-5DBF-4B31-95D0-304ADB55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47626"/>
          <a:ext cx="1476375" cy="788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D532-4C90-4C48-A80B-E27EAB23A783}">
  <dimension ref="A1:PC136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29.42578125" style="1" customWidth="1"/>
    <col min="2" max="2" width="15.28515625" style="1" customWidth="1"/>
    <col min="3" max="3" width="14.42578125" style="1" customWidth="1"/>
    <col min="4" max="4" width="13.28515625" style="1" customWidth="1"/>
    <col min="5" max="5" width="14.7109375" style="1" customWidth="1"/>
    <col min="6" max="6" width="11.85546875" style="1" customWidth="1"/>
    <col min="7" max="8" width="12.7109375" style="1" customWidth="1"/>
    <col min="9" max="9" width="13.28515625" style="1" customWidth="1"/>
    <col min="10" max="10" width="13.140625" style="1" customWidth="1"/>
    <col min="11" max="11" width="13" style="1" customWidth="1"/>
    <col min="12" max="15" width="11.42578125" style="2"/>
    <col min="16" max="25" width="11.42578125" style="1"/>
    <col min="26" max="50" width="14.140625" style="1" customWidth="1"/>
    <col min="51" max="52" width="16.85546875" style="1" customWidth="1"/>
    <col min="53" max="54" width="13.85546875" style="1" customWidth="1"/>
    <col min="55" max="81" width="18" style="1" customWidth="1"/>
    <col min="82" max="84" width="11.42578125" style="1"/>
    <col min="85" max="85" width="12.7109375" style="1" customWidth="1"/>
    <col min="86" max="86" width="13.140625" style="1" customWidth="1"/>
    <col min="87" max="122" width="11.42578125" style="1"/>
    <col min="123" max="124" width="12.42578125" style="1" customWidth="1"/>
    <col min="125" max="125" width="23.28515625" style="1" customWidth="1"/>
    <col min="126" max="126" width="19.5703125" style="1" customWidth="1"/>
    <col min="127" max="131" width="11.42578125" style="1"/>
    <col min="132" max="133" width="13" style="1" customWidth="1"/>
    <col min="134" max="134" width="12" style="1" customWidth="1"/>
    <col min="135" max="135" width="15.85546875" style="1" bestFit="1" customWidth="1"/>
    <col min="136" max="136" width="13.85546875" style="1" bestFit="1" customWidth="1"/>
    <col min="137" max="138" width="13.85546875" style="1" customWidth="1"/>
    <col min="139" max="147" width="11.42578125" style="1"/>
    <col min="148" max="148" width="19.85546875" style="1" customWidth="1"/>
    <col min="149" max="171" width="11.42578125" style="1"/>
    <col min="172" max="173" width="12.85546875" style="1" customWidth="1"/>
    <col min="174" max="174" width="11.42578125" style="2"/>
    <col min="175" max="189" width="11.42578125" style="1"/>
    <col min="190" max="190" width="12.7109375" style="1" customWidth="1"/>
    <col min="191" max="191" width="13.85546875" style="1" customWidth="1"/>
    <col min="192" max="192" width="17" style="1" customWidth="1"/>
    <col min="193" max="193" width="11" style="1" customWidth="1"/>
    <col min="194" max="194" width="11.28515625" style="1" customWidth="1"/>
    <col min="195" max="196" width="17" style="1" customWidth="1"/>
    <col min="197" max="201" width="16.140625" style="1" customWidth="1"/>
    <col min="202" max="202" width="15" style="1" customWidth="1"/>
    <col min="203" max="203" width="10.7109375" style="1" customWidth="1"/>
    <col min="204" max="204" width="10.5703125" style="1" customWidth="1"/>
    <col min="205" max="205" width="22.140625" style="1" customWidth="1"/>
    <col min="206" max="206" width="16.140625" style="1" customWidth="1"/>
    <col min="207" max="207" width="17.5703125" style="1" customWidth="1"/>
    <col min="208" max="208" width="16.7109375" style="1" customWidth="1"/>
    <col min="209" max="209" width="15" style="1" customWidth="1"/>
    <col min="210" max="210" width="14.7109375" style="1" customWidth="1"/>
    <col min="211" max="211" width="14.5703125" style="1" customWidth="1"/>
    <col min="212" max="214" width="14.42578125" style="1" customWidth="1"/>
    <col min="215" max="215" width="13.140625" style="1" customWidth="1"/>
    <col min="216" max="236" width="11.42578125" style="1"/>
    <col min="237" max="237" width="11.85546875" style="1" customWidth="1"/>
    <col min="238" max="238" width="14.28515625" style="2" customWidth="1"/>
    <col min="239" max="268" width="14.28515625" style="1" customWidth="1"/>
    <col min="269" max="269" width="15.28515625" style="1" bestFit="1" customWidth="1"/>
    <col min="270" max="270" width="15" style="1" customWidth="1"/>
    <col min="271" max="295" width="11.42578125" style="1"/>
    <col min="296" max="296" width="12.85546875" style="1" customWidth="1"/>
    <col min="297" max="297" width="13.28515625" style="1" customWidth="1"/>
    <col min="298" max="299" width="25" style="1" customWidth="1"/>
    <col min="300" max="300" width="16.7109375" style="1" customWidth="1"/>
    <col min="301" max="301" width="16" style="1" customWidth="1"/>
    <col min="302" max="303" width="25" style="1" customWidth="1"/>
    <col min="304" max="304" width="21.42578125" style="1" customWidth="1"/>
    <col min="305" max="305" width="14.42578125" style="1" customWidth="1"/>
    <col min="306" max="327" width="11.42578125" style="1"/>
    <col min="328" max="328" width="13.85546875" style="1" customWidth="1"/>
    <col min="329" max="350" width="11.42578125" style="1"/>
    <col min="351" max="351" width="14" style="1" customWidth="1"/>
    <col min="352" max="373" width="11.42578125" style="1"/>
    <col min="374" max="374" width="13.42578125" style="1" customWidth="1"/>
    <col min="375" max="396" width="11.42578125" style="1"/>
    <col min="397" max="397" width="12.42578125" style="1" customWidth="1"/>
    <col min="398" max="398" width="12.5703125" style="1" customWidth="1"/>
    <col min="399" max="399" width="20.5703125" style="1" customWidth="1"/>
    <col min="400" max="400" width="17" style="1" customWidth="1"/>
    <col min="401" max="401" width="25.28515625" style="1" customWidth="1"/>
    <col min="402" max="402" width="16.42578125" style="1" customWidth="1"/>
    <col min="403" max="403" width="14.85546875" style="1" customWidth="1"/>
    <col min="404" max="404" width="16.85546875" style="1" customWidth="1"/>
    <col min="405" max="405" width="13.5703125" style="1" customWidth="1"/>
    <col min="406" max="406" width="18.28515625" style="1" customWidth="1"/>
    <col min="407" max="407" width="15.42578125" style="1" customWidth="1"/>
    <col min="408" max="410" width="16.42578125" style="1" customWidth="1"/>
    <col min="411" max="415" width="11.42578125" style="1"/>
    <col min="416" max="416" width="12.42578125" style="1" customWidth="1"/>
    <col min="417" max="417" width="12.28515625" style="1" customWidth="1"/>
    <col min="418" max="16384" width="11.42578125" style="1"/>
  </cols>
  <sheetData>
    <row r="1" spans="1:419" x14ac:dyDescent="0.2">
      <c r="HX1" s="1" t="s">
        <v>232</v>
      </c>
      <c r="HY1" s="1">
        <v>7820</v>
      </c>
      <c r="HZ1" s="1">
        <f>+HY1/$HY$4</f>
        <v>0.33595394595523476</v>
      </c>
    </row>
    <row r="2" spans="1:419" ht="22.5" x14ac:dyDescent="0.3">
      <c r="B2" s="330" t="s">
        <v>316</v>
      </c>
      <c r="HX2" s="1" t="s">
        <v>233</v>
      </c>
      <c r="HY2" s="1">
        <v>10003</v>
      </c>
      <c r="HZ2" s="1">
        <f>+HY2/$HY$4</f>
        <v>0.42973750912918329</v>
      </c>
    </row>
    <row r="3" spans="1:419" x14ac:dyDescent="0.2">
      <c r="HX3" s="1" t="s">
        <v>231</v>
      </c>
      <c r="HY3" s="1">
        <v>5454</v>
      </c>
      <c r="HZ3" s="1">
        <f>+HY3/$HY$4</f>
        <v>0.2343085449155819</v>
      </c>
    </row>
    <row r="4" spans="1:419" x14ac:dyDescent="0.2">
      <c r="DX4" s="2"/>
      <c r="HX4" s="1" t="s">
        <v>234</v>
      </c>
      <c r="HY4" s="1">
        <f>+SUM(HY1:HY3)</f>
        <v>23277</v>
      </c>
      <c r="HZ4" s="1">
        <f>+HY4/$HY$4</f>
        <v>1</v>
      </c>
    </row>
    <row r="5" spans="1:419" x14ac:dyDescent="0.2">
      <c r="L5" s="291"/>
      <c r="M5" s="291"/>
      <c r="N5" s="291"/>
      <c r="O5" s="291"/>
      <c r="P5" s="291"/>
      <c r="Q5" s="60"/>
      <c r="R5" s="60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CT5" s="3"/>
      <c r="DR5" s="3"/>
      <c r="DS5" s="60"/>
      <c r="DT5" s="60"/>
      <c r="DU5" s="12"/>
      <c r="DV5" s="12"/>
      <c r="DX5" s="291"/>
      <c r="DY5" s="291"/>
      <c r="DZ5" s="291"/>
      <c r="EA5" s="291"/>
      <c r="EB5" s="291"/>
      <c r="EC5" s="291"/>
      <c r="ED5" s="291"/>
      <c r="EE5" s="291"/>
      <c r="EF5" s="291"/>
      <c r="EG5" s="60"/>
      <c r="EH5" s="60"/>
      <c r="EP5" s="60"/>
      <c r="EQ5" s="3"/>
      <c r="FN5" s="60"/>
      <c r="FO5" s="3"/>
      <c r="FP5" s="60"/>
      <c r="FQ5" s="60"/>
      <c r="GF5" s="61"/>
      <c r="GG5" s="4"/>
      <c r="GH5" s="61"/>
      <c r="GI5" s="61"/>
      <c r="GO5" s="257" t="s">
        <v>249</v>
      </c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  <c r="IW5" s="257"/>
      <c r="IX5" s="257"/>
      <c r="IY5" s="257"/>
      <c r="IZ5" s="257"/>
      <c r="JA5" s="257"/>
      <c r="JB5" s="257"/>
      <c r="JC5" s="257"/>
      <c r="JD5" s="257"/>
      <c r="JE5" s="257"/>
      <c r="JF5" s="257"/>
      <c r="JG5" s="257"/>
      <c r="JH5" s="257"/>
      <c r="JI5" s="257"/>
      <c r="JJ5" s="257"/>
      <c r="JK5" s="257"/>
      <c r="JL5" s="257"/>
      <c r="JM5" s="257"/>
      <c r="JN5" s="257"/>
      <c r="JO5" s="257"/>
      <c r="JP5" s="257"/>
      <c r="JQ5" s="257"/>
      <c r="JR5" s="257"/>
      <c r="JS5" s="257"/>
      <c r="JT5" s="257"/>
      <c r="JU5" s="257"/>
      <c r="JV5" s="257"/>
      <c r="JW5" s="257"/>
      <c r="JX5" s="257"/>
      <c r="JY5" s="257"/>
      <c r="JZ5" s="257"/>
      <c r="KA5" s="257"/>
      <c r="KB5" s="257"/>
      <c r="KC5" s="257"/>
      <c r="KD5" s="257"/>
      <c r="KE5" s="257"/>
      <c r="KF5" s="257"/>
      <c r="KG5" s="257"/>
      <c r="KH5" s="257"/>
      <c r="KI5" s="257"/>
      <c r="KJ5" s="257"/>
      <c r="KK5" s="257"/>
      <c r="KL5" s="257"/>
      <c r="KM5" s="257"/>
      <c r="KN5" s="257"/>
      <c r="KO5" s="257"/>
      <c r="KP5" s="257"/>
      <c r="KQ5" s="257"/>
      <c r="KR5" s="248" t="s">
        <v>253</v>
      </c>
      <c r="KS5" s="248"/>
      <c r="KT5" s="248"/>
      <c r="KU5" s="248"/>
      <c r="KV5" s="248"/>
      <c r="KW5" s="248"/>
      <c r="KX5" s="248"/>
      <c r="KY5" s="248"/>
      <c r="KZ5" s="248"/>
      <c r="LA5" s="248"/>
      <c r="LB5" s="248"/>
      <c r="LC5" s="248"/>
      <c r="LD5" s="248"/>
      <c r="LE5" s="248"/>
      <c r="LF5" s="248"/>
      <c r="LG5" s="248"/>
      <c r="LH5" s="248"/>
      <c r="LI5" s="248"/>
      <c r="LJ5" s="248"/>
      <c r="LK5" s="248"/>
      <c r="LL5" s="248"/>
      <c r="LM5" s="248"/>
      <c r="LN5" s="248"/>
      <c r="LO5" s="248"/>
      <c r="LP5" s="248"/>
      <c r="LQ5" s="248"/>
      <c r="LR5" s="248"/>
      <c r="LS5" s="248"/>
      <c r="LT5" s="248"/>
      <c r="LU5" s="248"/>
      <c r="LV5" s="248"/>
      <c r="LW5" s="248"/>
      <c r="LX5" s="248"/>
      <c r="LY5" s="248"/>
      <c r="LZ5" s="248"/>
      <c r="MA5" s="248"/>
      <c r="MB5" s="248"/>
      <c r="MC5" s="248"/>
      <c r="MD5" s="248"/>
      <c r="ME5" s="248"/>
      <c r="MF5" s="248"/>
      <c r="MG5" s="248"/>
      <c r="MH5" s="248"/>
      <c r="MI5" s="248"/>
      <c r="MJ5" s="248"/>
      <c r="MK5" s="248"/>
      <c r="ML5" s="248"/>
      <c r="MM5" s="248"/>
      <c r="MN5" s="248"/>
      <c r="MO5" s="248"/>
      <c r="MP5" s="248"/>
      <c r="MQ5" s="248"/>
      <c r="MR5" s="248"/>
      <c r="MS5" s="248"/>
      <c r="MT5" s="248"/>
      <c r="MU5" s="248"/>
      <c r="MV5" s="248"/>
      <c r="MW5" s="248"/>
      <c r="MX5" s="248"/>
      <c r="MY5" s="248"/>
      <c r="MZ5" s="248"/>
      <c r="NA5" s="248"/>
      <c r="NB5" s="248"/>
      <c r="NC5" s="248"/>
      <c r="ND5" s="248"/>
      <c r="NE5" s="248"/>
      <c r="NF5" s="248"/>
      <c r="NG5" s="248"/>
      <c r="NH5" s="248"/>
      <c r="NI5" s="248"/>
      <c r="NJ5" s="248"/>
      <c r="NK5" s="248"/>
      <c r="NL5" s="248"/>
      <c r="NM5" s="248"/>
      <c r="NN5" s="248"/>
      <c r="NO5" s="248"/>
      <c r="NP5" s="248"/>
      <c r="NQ5" s="248"/>
      <c r="NR5" s="248"/>
      <c r="NS5" s="248"/>
      <c r="NT5" s="248"/>
      <c r="NU5" s="248"/>
      <c r="NV5" s="248"/>
      <c r="NW5" s="248"/>
      <c r="NX5" s="248"/>
      <c r="NY5" s="248"/>
      <c r="NZ5" s="248"/>
      <c r="OA5" s="248"/>
      <c r="OB5" s="248"/>
      <c r="OC5" s="248"/>
      <c r="OD5" s="248"/>
      <c r="OE5" s="248"/>
      <c r="OF5" s="248"/>
      <c r="OG5" s="248"/>
      <c r="OH5" s="248"/>
      <c r="OI5" s="248"/>
      <c r="OJ5" s="248"/>
      <c r="OK5" s="248"/>
      <c r="OL5" s="248"/>
      <c r="OM5" s="248"/>
      <c r="ON5" s="248"/>
      <c r="OO5" s="248"/>
      <c r="OP5" s="248"/>
      <c r="OQ5" s="248"/>
      <c r="OR5" s="248"/>
      <c r="OS5" s="248"/>
      <c r="OT5" s="248"/>
      <c r="OU5" s="248"/>
      <c r="OV5" s="248"/>
      <c r="OW5" s="248"/>
      <c r="OX5" s="248"/>
      <c r="OY5" s="248"/>
      <c r="OZ5" s="248"/>
      <c r="PA5" s="248"/>
    </row>
    <row r="6" spans="1:419" ht="28.5" customHeight="1" x14ac:dyDescent="0.2">
      <c r="A6" s="269" t="s">
        <v>0</v>
      </c>
      <c r="B6" s="270" t="s">
        <v>251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92" t="s">
        <v>250</v>
      </c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4"/>
      <c r="GO6" s="252" t="s">
        <v>202</v>
      </c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64" t="s">
        <v>248</v>
      </c>
      <c r="HH6" s="264"/>
      <c r="HI6" s="264"/>
      <c r="HJ6" s="264"/>
      <c r="HK6" s="264"/>
      <c r="HL6" s="264"/>
      <c r="HM6" s="264"/>
      <c r="HN6" s="264"/>
      <c r="HO6" s="264"/>
      <c r="HP6" s="264"/>
      <c r="HQ6" s="264"/>
      <c r="HR6" s="264"/>
      <c r="HS6" s="264"/>
      <c r="HT6" s="264"/>
      <c r="HU6" s="264"/>
      <c r="HV6" s="264"/>
      <c r="HW6" s="264"/>
      <c r="HX6" s="264"/>
      <c r="HY6" s="264"/>
      <c r="HZ6" s="264"/>
      <c r="IA6" s="264"/>
      <c r="IB6" s="264"/>
      <c r="IC6" s="264"/>
      <c r="ID6" s="264"/>
      <c r="IE6" s="264"/>
      <c r="IF6" s="264"/>
      <c r="IG6" s="264"/>
      <c r="IH6" s="264"/>
      <c r="II6" s="264"/>
      <c r="IJ6" s="264"/>
      <c r="IK6" s="264"/>
      <c r="IL6" s="264"/>
      <c r="IM6" s="264"/>
      <c r="IN6" s="264"/>
      <c r="IO6" s="264"/>
      <c r="IP6" s="264"/>
      <c r="IQ6" s="264"/>
      <c r="IR6" s="264"/>
      <c r="IS6" s="264"/>
      <c r="IT6" s="264"/>
      <c r="IU6" s="264"/>
      <c r="IV6" s="264"/>
      <c r="IW6" s="264"/>
      <c r="IX6" s="264"/>
      <c r="IY6" s="264"/>
      <c r="IZ6" s="264"/>
      <c r="JA6" s="264"/>
      <c r="JB6" s="264"/>
      <c r="JC6" s="264"/>
      <c r="JD6" s="264"/>
      <c r="JE6" s="264"/>
      <c r="JF6" s="264"/>
      <c r="JG6" s="264"/>
      <c r="JH6" s="264"/>
      <c r="JI6" s="264"/>
      <c r="JJ6" s="264"/>
      <c r="JK6" s="264"/>
      <c r="JL6" s="264"/>
      <c r="JM6" s="264"/>
      <c r="JN6" s="264"/>
      <c r="JO6" s="264"/>
      <c r="JP6" s="264"/>
      <c r="JQ6" s="264"/>
      <c r="JR6" s="264"/>
      <c r="JS6" s="264"/>
      <c r="JT6" s="264"/>
      <c r="JU6" s="264"/>
      <c r="JV6" s="264"/>
      <c r="JW6" s="264"/>
      <c r="JX6" s="264"/>
      <c r="JY6" s="264"/>
      <c r="JZ6" s="264"/>
      <c r="KA6" s="264"/>
      <c r="KB6" s="264"/>
      <c r="KC6" s="264"/>
      <c r="KD6" s="264"/>
      <c r="KE6" s="264"/>
      <c r="KF6" s="264"/>
      <c r="KG6" s="264"/>
      <c r="KH6" s="264"/>
      <c r="KI6" s="264"/>
      <c r="KJ6" s="264"/>
      <c r="KK6" s="264"/>
      <c r="KL6" s="252" t="s">
        <v>212</v>
      </c>
      <c r="KM6" s="252"/>
      <c r="KN6" s="252"/>
      <c r="KO6" s="252"/>
      <c r="KP6" s="242" t="s">
        <v>235</v>
      </c>
      <c r="KQ6" s="242" t="s">
        <v>235</v>
      </c>
      <c r="KR6" s="120" t="s">
        <v>286</v>
      </c>
      <c r="KS6" s="247" t="s">
        <v>287</v>
      </c>
      <c r="KT6" s="247"/>
      <c r="KU6" s="247"/>
      <c r="KV6" s="247"/>
      <c r="KW6" s="247"/>
      <c r="KX6" s="247"/>
      <c r="KY6" s="247"/>
      <c r="KZ6" s="247"/>
      <c r="LA6" s="247"/>
      <c r="LB6" s="247"/>
      <c r="LC6" s="247"/>
      <c r="LD6" s="247"/>
      <c r="LE6" s="247"/>
      <c r="LF6" s="247"/>
      <c r="LG6" s="247"/>
      <c r="LH6" s="247"/>
      <c r="LI6" s="247"/>
      <c r="LJ6" s="247"/>
      <c r="LK6" s="247"/>
      <c r="LL6" s="247"/>
      <c r="LM6" s="247"/>
      <c r="LN6" s="247"/>
      <c r="LO6" s="247"/>
      <c r="LP6" s="247"/>
      <c r="LQ6" s="247"/>
      <c r="LR6" s="247"/>
      <c r="LS6" s="247"/>
      <c r="LT6" s="247"/>
      <c r="LU6" s="247"/>
      <c r="LV6" s="247"/>
      <c r="LW6" s="247"/>
      <c r="LX6" s="247"/>
      <c r="LY6" s="247"/>
      <c r="LZ6" s="247"/>
      <c r="MA6" s="247"/>
      <c r="MB6" s="247"/>
      <c r="MC6" s="247"/>
      <c r="MD6" s="247"/>
      <c r="ME6" s="247"/>
      <c r="MF6" s="247"/>
      <c r="MG6" s="247"/>
      <c r="MH6" s="247"/>
      <c r="MI6" s="247"/>
      <c r="MJ6" s="247"/>
      <c r="MK6" s="247"/>
      <c r="ML6" s="247"/>
      <c r="MM6" s="247"/>
      <c r="MN6" s="247"/>
      <c r="MO6" s="247"/>
      <c r="MP6" s="247"/>
      <c r="MQ6" s="247"/>
      <c r="MR6" s="247"/>
      <c r="MS6" s="247"/>
      <c r="MT6" s="247"/>
      <c r="MU6" s="247"/>
      <c r="MV6" s="247"/>
      <c r="MW6" s="247"/>
      <c r="MX6" s="247"/>
      <c r="MY6" s="247"/>
      <c r="MZ6" s="247"/>
      <c r="NA6" s="247"/>
      <c r="NB6" s="247"/>
      <c r="NC6" s="247"/>
      <c r="ND6" s="247"/>
      <c r="NE6" s="247"/>
      <c r="NF6" s="247"/>
      <c r="NG6" s="247"/>
      <c r="NH6" s="247"/>
      <c r="NI6" s="247"/>
      <c r="NJ6" s="247"/>
      <c r="NK6" s="247"/>
      <c r="NL6" s="247"/>
      <c r="NM6" s="247"/>
      <c r="NN6" s="247"/>
      <c r="NO6" s="247"/>
      <c r="NP6" s="247"/>
      <c r="NQ6" s="247"/>
      <c r="NR6" s="247"/>
      <c r="NS6" s="247"/>
      <c r="NT6" s="247"/>
      <c r="NU6" s="247"/>
      <c r="NV6" s="247"/>
      <c r="NW6" s="247"/>
      <c r="NX6" s="247"/>
      <c r="NY6" s="247"/>
      <c r="NZ6" s="247"/>
      <c r="OA6" s="247"/>
      <c r="OB6" s="247"/>
      <c r="OC6" s="247"/>
      <c r="OD6" s="247"/>
      <c r="OE6" s="247"/>
      <c r="OF6" s="247"/>
      <c r="OG6" s="247"/>
      <c r="OH6" s="247"/>
      <c r="OI6" s="247" t="s">
        <v>252</v>
      </c>
      <c r="OJ6" s="247"/>
      <c r="OK6" s="247"/>
      <c r="OL6" s="247"/>
      <c r="OM6" s="247"/>
      <c r="ON6" s="247"/>
      <c r="OO6" s="247"/>
      <c r="OP6" s="247"/>
      <c r="OQ6" s="247"/>
      <c r="OR6" s="247"/>
      <c r="OS6" s="247"/>
      <c r="OT6" s="247"/>
      <c r="OU6" s="247" t="s">
        <v>290</v>
      </c>
      <c r="OV6" s="247"/>
      <c r="OW6" s="247"/>
      <c r="OX6" s="247"/>
      <c r="OY6" s="247"/>
      <c r="OZ6" s="244" t="s">
        <v>235</v>
      </c>
      <c r="PA6" s="244" t="s">
        <v>235</v>
      </c>
    </row>
    <row r="7" spans="1:419" ht="42.75" customHeight="1" x14ac:dyDescent="0.2">
      <c r="A7" s="269"/>
      <c r="B7" s="275" t="s">
        <v>222</v>
      </c>
      <c r="C7" s="275"/>
      <c r="D7" s="275"/>
      <c r="E7" s="275"/>
      <c r="F7" s="110" t="s">
        <v>160</v>
      </c>
      <c r="G7" s="279" t="s">
        <v>163</v>
      </c>
      <c r="H7" s="279"/>
      <c r="I7" s="279"/>
      <c r="J7" s="279"/>
      <c r="K7" s="279"/>
      <c r="L7" s="275" t="s">
        <v>167</v>
      </c>
      <c r="M7" s="275"/>
      <c r="N7" s="275"/>
      <c r="O7" s="275"/>
      <c r="P7" s="275"/>
      <c r="Q7" s="275"/>
      <c r="R7" s="275"/>
      <c r="S7" s="275" t="s">
        <v>168</v>
      </c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 t="s">
        <v>238</v>
      </c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6" t="s">
        <v>258</v>
      </c>
      <c r="CC7" s="276" t="s">
        <v>259</v>
      </c>
      <c r="CD7" s="259" t="s">
        <v>177</v>
      </c>
      <c r="CE7" s="259"/>
      <c r="CF7" s="259"/>
      <c r="CG7" s="259"/>
      <c r="CH7" s="259"/>
      <c r="CI7" s="259" t="s">
        <v>270</v>
      </c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 t="s">
        <v>298</v>
      </c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  <c r="DK7" s="259"/>
      <c r="DL7" s="259"/>
      <c r="DM7" s="259"/>
      <c r="DN7" s="259"/>
      <c r="DO7" s="259"/>
      <c r="DP7" s="259"/>
      <c r="DQ7" s="259"/>
      <c r="DR7" s="259"/>
      <c r="DS7" s="259"/>
      <c r="DT7" s="259"/>
      <c r="DU7" s="66" t="s">
        <v>272</v>
      </c>
      <c r="DV7" s="66" t="s">
        <v>273</v>
      </c>
      <c r="DW7" s="35" t="s">
        <v>241</v>
      </c>
      <c r="DX7" s="259" t="s">
        <v>242</v>
      </c>
      <c r="DY7" s="259"/>
      <c r="DZ7" s="259"/>
      <c r="EA7" s="259"/>
      <c r="EB7" s="259"/>
      <c r="EC7" s="259"/>
      <c r="ED7" s="259"/>
      <c r="EE7" s="259"/>
      <c r="EF7" s="259"/>
      <c r="EG7" s="259"/>
      <c r="EH7" s="259"/>
      <c r="EI7" s="259" t="s">
        <v>187</v>
      </c>
      <c r="EJ7" s="259"/>
      <c r="EK7" s="259"/>
      <c r="EL7" s="259"/>
      <c r="EM7" s="259"/>
      <c r="EN7" s="259"/>
      <c r="EO7" s="259"/>
      <c r="EP7" s="259"/>
      <c r="EQ7" s="259"/>
      <c r="ER7" s="112" t="s">
        <v>189</v>
      </c>
      <c r="ES7" s="259" t="s">
        <v>192</v>
      </c>
      <c r="ET7" s="259"/>
      <c r="EU7" s="259"/>
      <c r="EV7" s="259"/>
      <c r="EW7" s="259"/>
      <c r="EX7" s="259"/>
      <c r="EY7" s="259"/>
      <c r="EZ7" s="259"/>
      <c r="FA7" s="259"/>
      <c r="FB7" s="259"/>
      <c r="FC7" s="259"/>
      <c r="FD7" s="259"/>
      <c r="FE7" s="259"/>
      <c r="FF7" s="259"/>
      <c r="FG7" s="259"/>
      <c r="FH7" s="259"/>
      <c r="FI7" s="259"/>
      <c r="FJ7" s="259"/>
      <c r="FK7" s="259"/>
      <c r="FL7" s="259"/>
      <c r="FM7" s="259"/>
      <c r="FN7" s="259"/>
      <c r="FO7" s="259"/>
      <c r="FP7" s="259"/>
      <c r="FQ7" s="259"/>
      <c r="FR7" s="259" t="s">
        <v>197</v>
      </c>
      <c r="FS7" s="259"/>
      <c r="FT7" s="259"/>
      <c r="FU7" s="259"/>
      <c r="FV7" s="259"/>
      <c r="FW7" s="259"/>
      <c r="FX7" s="259"/>
      <c r="FY7" s="259"/>
      <c r="FZ7" s="259"/>
      <c r="GA7" s="259"/>
      <c r="GB7" s="259"/>
      <c r="GC7" s="259"/>
      <c r="GD7" s="259"/>
      <c r="GE7" s="259"/>
      <c r="GF7" s="259"/>
      <c r="GG7" s="259"/>
      <c r="GH7" s="259"/>
      <c r="GI7" s="259"/>
      <c r="GJ7" s="113" t="s">
        <v>199</v>
      </c>
      <c r="GK7" s="258" t="s">
        <v>258</v>
      </c>
      <c r="GL7" s="258" t="s">
        <v>259</v>
      </c>
      <c r="GM7" s="258" t="s">
        <v>295</v>
      </c>
      <c r="GN7" s="258" t="s">
        <v>296</v>
      </c>
      <c r="GO7" s="262" t="s">
        <v>200</v>
      </c>
      <c r="GP7" s="262" t="s">
        <v>275</v>
      </c>
      <c r="GQ7" s="262"/>
      <c r="GR7" s="262"/>
      <c r="GS7" s="262"/>
      <c r="GT7" s="262"/>
      <c r="GU7" s="262"/>
      <c r="GV7" s="262"/>
      <c r="GW7" s="262" t="s">
        <v>201</v>
      </c>
      <c r="GX7" s="262" t="s">
        <v>276</v>
      </c>
      <c r="GY7" s="262"/>
      <c r="GZ7" s="262"/>
      <c r="HA7" s="262"/>
      <c r="HB7" s="262"/>
      <c r="HC7" s="262"/>
      <c r="HD7" s="262"/>
      <c r="HE7" s="246" t="s">
        <v>254</v>
      </c>
      <c r="HF7" s="246" t="s">
        <v>255</v>
      </c>
      <c r="HG7" s="289" t="s">
        <v>203</v>
      </c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63" t="s">
        <v>204</v>
      </c>
      <c r="IE7" s="286" t="s">
        <v>205</v>
      </c>
      <c r="IF7" s="287"/>
      <c r="IG7" s="287"/>
      <c r="IH7" s="287"/>
      <c r="II7" s="287"/>
      <c r="IJ7" s="287"/>
      <c r="IK7" s="287"/>
      <c r="IL7" s="287"/>
      <c r="IM7" s="287"/>
      <c r="IN7" s="287"/>
      <c r="IO7" s="287"/>
      <c r="IP7" s="287"/>
      <c r="IQ7" s="287"/>
      <c r="IR7" s="287"/>
      <c r="IS7" s="287"/>
      <c r="IT7" s="287"/>
      <c r="IU7" s="287"/>
      <c r="IV7" s="287"/>
      <c r="IW7" s="287"/>
      <c r="IX7" s="287"/>
      <c r="IY7" s="287"/>
      <c r="IZ7" s="287"/>
      <c r="JA7" s="287"/>
      <c r="JB7" s="287"/>
      <c r="JC7" s="287"/>
      <c r="JD7" s="287"/>
      <c r="JE7" s="287"/>
      <c r="JF7" s="287"/>
      <c r="JG7" s="287"/>
      <c r="JH7" s="288"/>
      <c r="JI7" s="289" t="s">
        <v>221</v>
      </c>
      <c r="JJ7" s="289"/>
      <c r="JK7" s="289"/>
      <c r="JL7" s="289"/>
      <c r="JM7" s="289"/>
      <c r="JN7" s="289"/>
      <c r="JO7" s="289"/>
      <c r="JP7" s="289"/>
      <c r="JQ7" s="289"/>
      <c r="JR7" s="289"/>
      <c r="JS7" s="289"/>
      <c r="JT7" s="289"/>
      <c r="JU7" s="289"/>
      <c r="JV7" s="289"/>
      <c r="JW7" s="289"/>
      <c r="JX7" s="289"/>
      <c r="JY7" s="289"/>
      <c r="JZ7" s="289"/>
      <c r="KA7" s="289"/>
      <c r="KB7" s="289"/>
      <c r="KC7" s="289"/>
      <c r="KD7" s="289"/>
      <c r="KE7" s="289"/>
      <c r="KF7" s="263" t="s">
        <v>206</v>
      </c>
      <c r="KG7" s="263" t="s">
        <v>207</v>
      </c>
      <c r="KH7" s="263" t="s">
        <v>208</v>
      </c>
      <c r="KI7" s="263" t="s">
        <v>209</v>
      </c>
      <c r="KJ7" s="265" t="s">
        <v>254</v>
      </c>
      <c r="KK7" s="265" t="s">
        <v>255</v>
      </c>
      <c r="KL7" s="262" t="s">
        <v>210</v>
      </c>
      <c r="KM7" s="262" t="s">
        <v>211</v>
      </c>
      <c r="KN7" s="246" t="s">
        <v>254</v>
      </c>
      <c r="KO7" s="246" t="s">
        <v>255</v>
      </c>
      <c r="KP7" s="242"/>
      <c r="KQ7" s="242"/>
      <c r="KR7" s="249" t="s">
        <v>213</v>
      </c>
      <c r="KS7" s="256" t="s">
        <v>214</v>
      </c>
      <c r="KT7" s="256"/>
      <c r="KU7" s="256"/>
      <c r="KV7" s="256"/>
      <c r="KW7" s="256"/>
      <c r="KX7" s="256"/>
      <c r="KY7" s="256"/>
      <c r="KZ7" s="256"/>
      <c r="LA7" s="256"/>
      <c r="LB7" s="256"/>
      <c r="LC7" s="256"/>
      <c r="LD7" s="256"/>
      <c r="LE7" s="256"/>
      <c r="LF7" s="256"/>
      <c r="LG7" s="256"/>
      <c r="LH7" s="256"/>
      <c r="LI7" s="256"/>
      <c r="LJ7" s="256"/>
      <c r="LK7" s="256"/>
      <c r="LL7" s="256"/>
      <c r="LM7" s="256"/>
      <c r="LN7" s="256"/>
      <c r="LO7" s="256"/>
      <c r="LP7" s="256" t="s">
        <v>215</v>
      </c>
      <c r="LQ7" s="256"/>
      <c r="LR7" s="256"/>
      <c r="LS7" s="256"/>
      <c r="LT7" s="256"/>
      <c r="LU7" s="256"/>
      <c r="LV7" s="256"/>
      <c r="LW7" s="256"/>
      <c r="LX7" s="256"/>
      <c r="LY7" s="256"/>
      <c r="LZ7" s="256"/>
      <c r="MA7" s="256"/>
      <c r="MB7" s="256"/>
      <c r="MC7" s="256"/>
      <c r="MD7" s="256"/>
      <c r="ME7" s="256"/>
      <c r="MF7" s="256"/>
      <c r="MG7" s="256"/>
      <c r="MH7" s="256"/>
      <c r="MI7" s="256"/>
      <c r="MJ7" s="256"/>
      <c r="MK7" s="256"/>
      <c r="ML7" s="256"/>
      <c r="MM7" s="256" t="s">
        <v>216</v>
      </c>
      <c r="MN7" s="256"/>
      <c r="MO7" s="256"/>
      <c r="MP7" s="256"/>
      <c r="MQ7" s="256"/>
      <c r="MR7" s="256"/>
      <c r="MS7" s="256"/>
      <c r="MT7" s="256"/>
      <c r="MU7" s="256"/>
      <c r="MV7" s="256"/>
      <c r="MW7" s="256"/>
      <c r="MX7" s="256"/>
      <c r="MY7" s="256"/>
      <c r="MZ7" s="256"/>
      <c r="NA7" s="256"/>
      <c r="NB7" s="256"/>
      <c r="NC7" s="256"/>
      <c r="ND7" s="256"/>
      <c r="NE7" s="256"/>
      <c r="NF7" s="256"/>
      <c r="NG7" s="256"/>
      <c r="NH7" s="256"/>
      <c r="NI7" s="256"/>
      <c r="NJ7" s="256" t="s">
        <v>217</v>
      </c>
      <c r="NK7" s="256"/>
      <c r="NL7" s="256"/>
      <c r="NM7" s="256"/>
      <c r="NN7" s="256"/>
      <c r="NO7" s="256"/>
      <c r="NP7" s="256"/>
      <c r="NQ7" s="256"/>
      <c r="NR7" s="256"/>
      <c r="NS7" s="256"/>
      <c r="NT7" s="256"/>
      <c r="NU7" s="256"/>
      <c r="NV7" s="256"/>
      <c r="NW7" s="256"/>
      <c r="NX7" s="256"/>
      <c r="NY7" s="256"/>
      <c r="NZ7" s="256"/>
      <c r="OA7" s="256"/>
      <c r="OB7" s="256"/>
      <c r="OC7" s="256"/>
      <c r="OD7" s="256"/>
      <c r="OE7" s="256"/>
      <c r="OF7" s="256"/>
      <c r="OG7" s="246" t="s">
        <v>254</v>
      </c>
      <c r="OH7" s="246" t="s">
        <v>255</v>
      </c>
      <c r="OI7" s="249" t="s">
        <v>218</v>
      </c>
      <c r="OJ7" s="249" t="s">
        <v>219</v>
      </c>
      <c r="OK7" s="63" t="s">
        <v>288</v>
      </c>
      <c r="OL7" s="249" t="s">
        <v>289</v>
      </c>
      <c r="OM7" s="249"/>
      <c r="ON7" s="249"/>
      <c r="OO7" s="249"/>
      <c r="OP7" s="249"/>
      <c r="OQ7" s="249"/>
      <c r="OR7" s="249"/>
      <c r="OS7" s="246" t="s">
        <v>254</v>
      </c>
      <c r="OT7" s="251" t="s">
        <v>255</v>
      </c>
      <c r="OU7" s="249" t="s">
        <v>291</v>
      </c>
      <c r="OV7" s="249" t="s">
        <v>292</v>
      </c>
      <c r="OW7" s="249" t="s">
        <v>220</v>
      </c>
      <c r="OX7" s="246" t="s">
        <v>254</v>
      </c>
      <c r="OY7" s="246" t="s">
        <v>255</v>
      </c>
      <c r="OZ7" s="244"/>
      <c r="PA7" s="244"/>
    </row>
    <row r="8" spans="1:419" ht="60" customHeight="1" x14ac:dyDescent="0.2">
      <c r="A8" s="269"/>
      <c r="B8" s="277" t="s">
        <v>223</v>
      </c>
      <c r="C8" s="277" t="s">
        <v>158</v>
      </c>
      <c r="D8" s="246" t="s">
        <v>254</v>
      </c>
      <c r="E8" s="246" t="s">
        <v>255</v>
      </c>
      <c r="F8" s="62" t="s">
        <v>159</v>
      </c>
      <c r="G8" s="277" t="s">
        <v>228</v>
      </c>
      <c r="H8" s="277" t="s">
        <v>161</v>
      </c>
      <c r="I8" s="277" t="s">
        <v>162</v>
      </c>
      <c r="J8" s="246" t="s">
        <v>254</v>
      </c>
      <c r="K8" s="246" t="s">
        <v>255</v>
      </c>
      <c r="L8" s="271" t="s">
        <v>164</v>
      </c>
      <c r="M8" s="272"/>
      <c r="N8" s="271" t="s">
        <v>165</v>
      </c>
      <c r="O8" s="272"/>
      <c r="P8" s="277" t="s">
        <v>166</v>
      </c>
      <c r="Q8" s="246" t="s">
        <v>254</v>
      </c>
      <c r="R8" s="246" t="s">
        <v>255</v>
      </c>
      <c r="S8" s="277" t="s">
        <v>236</v>
      </c>
      <c r="T8" s="277"/>
      <c r="U8" s="277"/>
      <c r="V8" s="277"/>
      <c r="W8" s="277"/>
      <c r="X8" s="277"/>
      <c r="Y8" s="277"/>
      <c r="Z8" s="278" t="s">
        <v>237</v>
      </c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46" t="s">
        <v>254</v>
      </c>
      <c r="AW8" s="246" t="s">
        <v>255</v>
      </c>
      <c r="AX8" s="277" t="s">
        <v>169</v>
      </c>
      <c r="AY8" s="271" t="s">
        <v>170</v>
      </c>
      <c r="AZ8" s="272"/>
      <c r="BA8" s="271" t="s">
        <v>171</v>
      </c>
      <c r="BB8" s="272"/>
      <c r="BC8" s="278" t="s">
        <v>269</v>
      </c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 t="s">
        <v>173</v>
      </c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46" t="s">
        <v>254</v>
      </c>
      <c r="CA8" s="246" t="s">
        <v>255</v>
      </c>
      <c r="CB8" s="276"/>
      <c r="CC8" s="276"/>
      <c r="CD8" s="260" t="s">
        <v>174</v>
      </c>
      <c r="CE8" s="260" t="s">
        <v>175</v>
      </c>
      <c r="CF8" s="260" t="s">
        <v>176</v>
      </c>
      <c r="CG8" s="246" t="s">
        <v>254</v>
      </c>
      <c r="CH8" s="246" t="s">
        <v>255</v>
      </c>
      <c r="CI8" s="261" t="s">
        <v>178</v>
      </c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0" t="s">
        <v>179</v>
      </c>
      <c r="CV8" s="260"/>
      <c r="CW8" s="260"/>
      <c r="CX8" s="260"/>
      <c r="CY8" s="260"/>
      <c r="CZ8" s="260"/>
      <c r="DA8" s="260"/>
      <c r="DB8" s="260"/>
      <c r="DC8" s="260"/>
      <c r="DD8" s="260"/>
      <c r="DE8" s="260"/>
      <c r="DF8" s="260"/>
      <c r="DG8" s="261" t="s">
        <v>180</v>
      </c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46" t="s">
        <v>254</v>
      </c>
      <c r="DT8" s="246" t="s">
        <v>255</v>
      </c>
      <c r="DU8" s="260" t="s">
        <v>271</v>
      </c>
      <c r="DV8" s="260" t="s">
        <v>181</v>
      </c>
      <c r="DW8" s="260" t="s">
        <v>182</v>
      </c>
      <c r="DX8" s="260" t="s">
        <v>183</v>
      </c>
      <c r="DY8" s="260"/>
      <c r="DZ8" s="260"/>
      <c r="EA8" s="260"/>
      <c r="EB8" s="260"/>
      <c r="EC8" s="260"/>
      <c r="ED8" s="260"/>
      <c r="EE8" s="260" t="s">
        <v>184</v>
      </c>
      <c r="EF8" s="260" t="s">
        <v>185</v>
      </c>
      <c r="EG8" s="246" t="s">
        <v>254</v>
      </c>
      <c r="EH8" s="246" t="s">
        <v>255</v>
      </c>
      <c r="EI8" s="261" t="s">
        <v>186</v>
      </c>
      <c r="EJ8" s="261"/>
      <c r="EK8" s="261"/>
      <c r="EL8" s="261"/>
      <c r="EM8" s="261"/>
      <c r="EN8" s="261"/>
      <c r="EO8" s="261"/>
      <c r="EP8" s="261"/>
      <c r="EQ8" s="261"/>
      <c r="ER8" s="260" t="s">
        <v>188</v>
      </c>
      <c r="ES8" s="260" t="s">
        <v>190</v>
      </c>
      <c r="ET8" s="261" t="s">
        <v>191</v>
      </c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46" t="s">
        <v>254</v>
      </c>
      <c r="FQ8" s="246" t="s">
        <v>255</v>
      </c>
      <c r="FR8" s="260" t="s">
        <v>193</v>
      </c>
      <c r="FS8" s="261" t="s">
        <v>194</v>
      </c>
      <c r="FT8" s="261"/>
      <c r="FU8" s="261"/>
      <c r="FV8" s="261"/>
      <c r="FW8" s="261"/>
      <c r="FX8" s="261"/>
      <c r="FY8" s="261"/>
      <c r="FZ8" s="260" t="s">
        <v>274</v>
      </c>
      <c r="GA8" s="260" t="s">
        <v>196</v>
      </c>
      <c r="GB8" s="260"/>
      <c r="GC8" s="260"/>
      <c r="GD8" s="260"/>
      <c r="GE8" s="260"/>
      <c r="GF8" s="260"/>
      <c r="GG8" s="260"/>
      <c r="GH8" s="246" t="s">
        <v>254</v>
      </c>
      <c r="GI8" s="246" t="s">
        <v>255</v>
      </c>
      <c r="GJ8" s="260" t="s">
        <v>198</v>
      </c>
      <c r="GK8" s="258"/>
      <c r="GL8" s="258"/>
      <c r="GM8" s="258"/>
      <c r="GN8" s="258"/>
      <c r="GO8" s="262"/>
      <c r="GP8" s="262"/>
      <c r="GQ8" s="262"/>
      <c r="GR8" s="262"/>
      <c r="GS8" s="262"/>
      <c r="GT8" s="262"/>
      <c r="GU8" s="262"/>
      <c r="GV8" s="262"/>
      <c r="GW8" s="262"/>
      <c r="GX8" s="262"/>
      <c r="GY8" s="262"/>
      <c r="GZ8" s="262"/>
      <c r="HA8" s="262"/>
      <c r="HB8" s="262"/>
      <c r="HC8" s="262"/>
      <c r="HD8" s="262"/>
      <c r="HE8" s="246"/>
      <c r="HF8" s="246"/>
      <c r="HG8" s="64" t="s">
        <v>137</v>
      </c>
      <c r="HH8" s="64" t="s">
        <v>138</v>
      </c>
      <c r="HI8" s="262" t="s">
        <v>277</v>
      </c>
      <c r="HJ8" s="262"/>
      <c r="HK8" s="262"/>
      <c r="HL8" s="262"/>
      <c r="HM8" s="262"/>
      <c r="HN8" s="262"/>
      <c r="HO8" s="262"/>
      <c r="HP8" s="262"/>
      <c r="HQ8" s="262"/>
      <c r="HR8" s="262"/>
      <c r="HS8" s="262"/>
      <c r="HT8" s="262"/>
      <c r="HU8" s="262"/>
      <c r="HV8" s="262"/>
      <c r="HW8" s="262"/>
      <c r="HX8" s="262"/>
      <c r="HY8" s="262"/>
      <c r="HZ8" s="262"/>
      <c r="IA8" s="262"/>
      <c r="IB8" s="253" t="s">
        <v>278</v>
      </c>
      <c r="IC8" s="253" t="s">
        <v>279</v>
      </c>
      <c r="ID8" s="262"/>
      <c r="IE8" s="266" t="s">
        <v>137</v>
      </c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8"/>
      <c r="IQ8" s="266" t="s">
        <v>138</v>
      </c>
      <c r="IR8" s="267"/>
      <c r="IS8" s="267"/>
      <c r="IT8" s="267"/>
      <c r="IU8" s="267"/>
      <c r="IV8" s="267"/>
      <c r="IW8" s="267"/>
      <c r="IX8" s="267"/>
      <c r="IY8" s="267"/>
      <c r="IZ8" s="267"/>
      <c r="JA8" s="267"/>
      <c r="JB8" s="267"/>
      <c r="JC8" s="267"/>
      <c r="JD8" s="268"/>
      <c r="JE8" s="266" t="s">
        <v>277</v>
      </c>
      <c r="JF8" s="268"/>
      <c r="JG8" s="250" t="s">
        <v>278</v>
      </c>
      <c r="JH8" s="250" t="s">
        <v>279</v>
      </c>
      <c r="JI8" s="64" t="s">
        <v>137</v>
      </c>
      <c r="JJ8" s="64" t="s">
        <v>138</v>
      </c>
      <c r="JK8" s="290" t="s">
        <v>277</v>
      </c>
      <c r="JL8" s="290"/>
      <c r="JM8" s="290"/>
      <c r="JN8" s="290"/>
      <c r="JO8" s="290"/>
      <c r="JP8" s="290"/>
      <c r="JQ8" s="290"/>
      <c r="JR8" s="290"/>
      <c r="JS8" s="290"/>
      <c r="JT8" s="290"/>
      <c r="JU8" s="290"/>
      <c r="JV8" s="290"/>
      <c r="JW8" s="290"/>
      <c r="JX8" s="290"/>
      <c r="JY8" s="290"/>
      <c r="JZ8" s="290"/>
      <c r="KA8" s="290"/>
      <c r="KB8" s="290"/>
      <c r="KC8" s="290"/>
      <c r="KD8" s="250" t="s">
        <v>278</v>
      </c>
      <c r="KE8" s="250" t="s">
        <v>279</v>
      </c>
      <c r="KF8" s="262"/>
      <c r="KG8" s="262"/>
      <c r="KH8" s="262"/>
      <c r="KI8" s="262"/>
      <c r="KJ8" s="246"/>
      <c r="KK8" s="246"/>
      <c r="KL8" s="262"/>
      <c r="KM8" s="262"/>
      <c r="KN8" s="246"/>
      <c r="KO8" s="246"/>
      <c r="KP8" s="242"/>
      <c r="KQ8" s="242"/>
      <c r="KR8" s="249"/>
      <c r="KS8" s="63" t="s">
        <v>137</v>
      </c>
      <c r="KT8" s="63" t="s">
        <v>138</v>
      </c>
      <c r="KU8" s="255" t="s">
        <v>277</v>
      </c>
      <c r="KV8" s="255"/>
      <c r="KW8" s="255"/>
      <c r="KX8" s="255"/>
      <c r="KY8" s="255"/>
      <c r="KZ8" s="255"/>
      <c r="LA8" s="255"/>
      <c r="LB8" s="255"/>
      <c r="LC8" s="255"/>
      <c r="LD8" s="255"/>
      <c r="LE8" s="255"/>
      <c r="LF8" s="255"/>
      <c r="LG8" s="255"/>
      <c r="LH8" s="255"/>
      <c r="LI8" s="255"/>
      <c r="LJ8" s="255"/>
      <c r="LK8" s="255"/>
      <c r="LL8" s="255"/>
      <c r="LM8" s="255"/>
      <c r="LN8" s="250" t="s">
        <v>278</v>
      </c>
      <c r="LO8" s="250" t="s">
        <v>279</v>
      </c>
      <c r="LP8" s="63" t="s">
        <v>137</v>
      </c>
      <c r="LQ8" s="119" t="s">
        <v>138</v>
      </c>
      <c r="LR8" s="283" t="s">
        <v>277</v>
      </c>
      <c r="LS8" s="284"/>
      <c r="LT8" s="284"/>
      <c r="LU8" s="284"/>
      <c r="LV8" s="284"/>
      <c r="LW8" s="284"/>
      <c r="LX8" s="284"/>
      <c r="LY8" s="284"/>
      <c r="LZ8" s="284"/>
      <c r="MA8" s="284"/>
      <c r="MB8" s="284"/>
      <c r="MC8" s="284"/>
      <c r="MD8" s="284"/>
      <c r="ME8" s="284"/>
      <c r="MF8" s="284"/>
      <c r="MG8" s="284"/>
      <c r="MH8" s="284"/>
      <c r="MI8" s="284"/>
      <c r="MJ8" s="285"/>
      <c r="MK8" s="282" t="s">
        <v>278</v>
      </c>
      <c r="ML8" s="250" t="s">
        <v>279</v>
      </c>
      <c r="MM8" s="63" t="s">
        <v>137</v>
      </c>
      <c r="MN8" s="119" t="s">
        <v>145</v>
      </c>
      <c r="MO8" s="255" t="s">
        <v>277</v>
      </c>
      <c r="MP8" s="255"/>
      <c r="MQ8" s="255"/>
      <c r="MR8" s="255"/>
      <c r="MS8" s="255"/>
      <c r="MT8" s="255"/>
      <c r="MU8" s="255"/>
      <c r="MV8" s="255"/>
      <c r="MW8" s="255"/>
      <c r="MX8" s="255"/>
      <c r="MY8" s="255"/>
      <c r="MZ8" s="255"/>
      <c r="NA8" s="255"/>
      <c r="NB8" s="255"/>
      <c r="NC8" s="255"/>
      <c r="ND8" s="255"/>
      <c r="NE8" s="255"/>
      <c r="NF8" s="255"/>
      <c r="NG8" s="255"/>
      <c r="NH8" s="253" t="s">
        <v>278</v>
      </c>
      <c r="NI8" s="253" t="s">
        <v>279</v>
      </c>
      <c r="NJ8" s="63" t="s">
        <v>137</v>
      </c>
      <c r="NK8" s="119" t="s">
        <v>138</v>
      </c>
      <c r="NL8" s="255" t="s">
        <v>277</v>
      </c>
      <c r="NM8" s="255"/>
      <c r="NN8" s="255"/>
      <c r="NO8" s="255"/>
      <c r="NP8" s="255"/>
      <c r="NQ8" s="255"/>
      <c r="NR8" s="255"/>
      <c r="NS8" s="255"/>
      <c r="NT8" s="255"/>
      <c r="NU8" s="255"/>
      <c r="NV8" s="255"/>
      <c r="NW8" s="255"/>
      <c r="NX8" s="255"/>
      <c r="NY8" s="255"/>
      <c r="NZ8" s="255"/>
      <c r="OA8" s="255"/>
      <c r="OB8" s="255"/>
      <c r="OC8" s="255"/>
      <c r="OD8" s="255"/>
      <c r="OE8" s="250" t="s">
        <v>278</v>
      </c>
      <c r="OF8" s="250" t="s">
        <v>279</v>
      </c>
      <c r="OG8" s="246"/>
      <c r="OH8" s="246"/>
      <c r="OI8" s="249"/>
      <c r="OJ8" s="249"/>
      <c r="OK8" s="249" t="s">
        <v>147</v>
      </c>
      <c r="OL8" s="249" t="s">
        <v>148</v>
      </c>
      <c r="OM8" s="249" t="s">
        <v>149</v>
      </c>
      <c r="ON8" s="249" t="s">
        <v>150</v>
      </c>
      <c r="OO8" s="249" t="s">
        <v>140</v>
      </c>
      <c r="OP8" s="249" t="s">
        <v>141</v>
      </c>
      <c r="OQ8" s="250" t="s">
        <v>278</v>
      </c>
      <c r="OR8" s="250" t="s">
        <v>279</v>
      </c>
      <c r="OS8" s="246"/>
      <c r="OT8" s="251"/>
      <c r="OU8" s="249"/>
      <c r="OV8" s="249"/>
      <c r="OW8" s="249"/>
      <c r="OX8" s="246"/>
      <c r="OY8" s="246"/>
      <c r="OZ8" s="244"/>
      <c r="PA8" s="244"/>
    </row>
    <row r="9" spans="1:419" ht="143.25" customHeight="1" x14ac:dyDescent="0.2">
      <c r="A9" s="269"/>
      <c r="B9" s="277"/>
      <c r="C9" s="277"/>
      <c r="D9" s="246"/>
      <c r="E9" s="246"/>
      <c r="F9" s="62" t="s">
        <v>151</v>
      </c>
      <c r="G9" s="277"/>
      <c r="H9" s="277"/>
      <c r="I9" s="277"/>
      <c r="J9" s="246"/>
      <c r="K9" s="246"/>
      <c r="L9" s="273"/>
      <c r="M9" s="274"/>
      <c r="N9" s="273"/>
      <c r="O9" s="274"/>
      <c r="P9" s="277"/>
      <c r="Q9" s="246"/>
      <c r="R9" s="246"/>
      <c r="S9" s="62" t="s">
        <v>268</v>
      </c>
      <c r="T9" s="62" t="s">
        <v>1</v>
      </c>
      <c r="U9" s="62" t="s">
        <v>2</v>
      </c>
      <c r="V9" s="62" t="s">
        <v>3</v>
      </c>
      <c r="W9" s="62" t="s">
        <v>4</v>
      </c>
      <c r="X9" s="108" t="s">
        <v>256</v>
      </c>
      <c r="Y9" s="108" t="s">
        <v>257</v>
      </c>
      <c r="Z9" s="62" t="s">
        <v>38</v>
      </c>
      <c r="AA9" s="62" t="s">
        <v>76</v>
      </c>
      <c r="AB9" s="62" t="s">
        <v>77</v>
      </c>
      <c r="AC9" s="62" t="s">
        <v>78</v>
      </c>
      <c r="AD9" s="62" t="s">
        <v>79</v>
      </c>
      <c r="AE9" s="62" t="s">
        <v>80</v>
      </c>
      <c r="AF9" s="62" t="s">
        <v>81</v>
      </c>
      <c r="AG9" s="62" t="s">
        <v>82</v>
      </c>
      <c r="AH9" s="62" t="s">
        <v>83</v>
      </c>
      <c r="AI9" s="62" t="s">
        <v>84</v>
      </c>
      <c r="AJ9" s="62" t="s">
        <v>85</v>
      </c>
      <c r="AK9" s="62" t="s">
        <v>86</v>
      </c>
      <c r="AL9" s="62" t="s">
        <v>87</v>
      </c>
      <c r="AM9" s="62" t="s">
        <v>88</v>
      </c>
      <c r="AN9" s="62" t="s">
        <v>89</v>
      </c>
      <c r="AO9" s="62" t="s">
        <v>90</v>
      </c>
      <c r="AP9" s="62" t="s">
        <v>91</v>
      </c>
      <c r="AQ9" s="62" t="s">
        <v>92</v>
      </c>
      <c r="AR9" s="62" t="s">
        <v>93</v>
      </c>
      <c r="AS9" s="62" t="s">
        <v>94</v>
      </c>
      <c r="AT9" s="108" t="s">
        <v>256</v>
      </c>
      <c r="AU9" s="108" t="s">
        <v>257</v>
      </c>
      <c r="AV9" s="246"/>
      <c r="AW9" s="246"/>
      <c r="AX9" s="277"/>
      <c r="AY9" s="273"/>
      <c r="AZ9" s="274"/>
      <c r="BA9" s="273"/>
      <c r="BB9" s="274"/>
      <c r="BC9" s="280" t="s">
        <v>95</v>
      </c>
      <c r="BD9" s="281"/>
      <c r="BE9" s="37" t="s">
        <v>96</v>
      </c>
      <c r="BF9" s="37" t="s">
        <v>97</v>
      </c>
      <c r="BG9" s="37" t="s">
        <v>98</v>
      </c>
      <c r="BH9" s="37" t="s">
        <v>99</v>
      </c>
      <c r="BI9" s="37" t="s">
        <v>100</v>
      </c>
      <c r="BJ9" s="37" t="s">
        <v>101</v>
      </c>
      <c r="BK9" s="37" t="s">
        <v>102</v>
      </c>
      <c r="BL9" s="108" t="s">
        <v>256</v>
      </c>
      <c r="BM9" s="108" t="s">
        <v>257</v>
      </c>
      <c r="BN9" s="280" t="s">
        <v>103</v>
      </c>
      <c r="BO9" s="281"/>
      <c r="BP9" s="37" t="s">
        <v>104</v>
      </c>
      <c r="BQ9" s="280" t="s">
        <v>105</v>
      </c>
      <c r="BR9" s="281"/>
      <c r="BS9" s="280" t="s">
        <v>106</v>
      </c>
      <c r="BT9" s="281"/>
      <c r="BU9" s="280" t="s">
        <v>107</v>
      </c>
      <c r="BV9" s="281"/>
      <c r="BW9" s="37" t="s">
        <v>108</v>
      </c>
      <c r="BX9" s="108" t="s">
        <v>256</v>
      </c>
      <c r="BY9" s="108" t="s">
        <v>257</v>
      </c>
      <c r="BZ9" s="246"/>
      <c r="CA9" s="246"/>
      <c r="CB9" s="276"/>
      <c r="CC9" s="276"/>
      <c r="CD9" s="260"/>
      <c r="CE9" s="260"/>
      <c r="CF9" s="260"/>
      <c r="CG9" s="246"/>
      <c r="CH9" s="246"/>
      <c r="CI9" s="65" t="s">
        <v>5</v>
      </c>
      <c r="CJ9" s="65" t="s">
        <v>6</v>
      </c>
      <c r="CK9" s="65" t="s">
        <v>7</v>
      </c>
      <c r="CL9" s="65" t="s">
        <v>8</v>
      </c>
      <c r="CM9" s="65" t="s">
        <v>9</v>
      </c>
      <c r="CN9" s="65" t="s">
        <v>10</v>
      </c>
      <c r="CO9" s="65" t="s">
        <v>11</v>
      </c>
      <c r="CP9" s="65" t="s">
        <v>12</v>
      </c>
      <c r="CQ9" s="65" t="s">
        <v>13</v>
      </c>
      <c r="CR9" s="65" t="s">
        <v>14</v>
      </c>
      <c r="CS9" s="108" t="s">
        <v>256</v>
      </c>
      <c r="CT9" s="108" t="s">
        <v>257</v>
      </c>
      <c r="CU9" s="65" t="s">
        <v>15</v>
      </c>
      <c r="CV9" s="65" t="s">
        <v>16</v>
      </c>
      <c r="CW9" s="65" t="s">
        <v>17</v>
      </c>
      <c r="CX9" s="65" t="s">
        <v>18</v>
      </c>
      <c r="CY9" s="65" t="s">
        <v>19</v>
      </c>
      <c r="CZ9" s="65" t="s">
        <v>20</v>
      </c>
      <c r="DA9" s="65" t="s">
        <v>21</v>
      </c>
      <c r="DB9" s="65" t="s">
        <v>22</v>
      </c>
      <c r="DC9" s="65" t="s">
        <v>23</v>
      </c>
      <c r="DD9" s="65" t="s">
        <v>24</v>
      </c>
      <c r="DE9" s="108" t="s">
        <v>256</v>
      </c>
      <c r="DF9" s="108" t="s">
        <v>257</v>
      </c>
      <c r="DG9" s="65" t="s">
        <v>25</v>
      </c>
      <c r="DH9" s="65" t="s">
        <v>26</v>
      </c>
      <c r="DI9" s="65" t="s">
        <v>27</v>
      </c>
      <c r="DJ9" s="65" t="s">
        <v>28</v>
      </c>
      <c r="DK9" s="65" t="s">
        <v>29</v>
      </c>
      <c r="DL9" s="65" t="s">
        <v>30</v>
      </c>
      <c r="DM9" s="65" t="s">
        <v>109</v>
      </c>
      <c r="DN9" s="65" t="s">
        <v>110</v>
      </c>
      <c r="DO9" s="65" t="s">
        <v>111</v>
      </c>
      <c r="DP9" s="65" t="s">
        <v>112</v>
      </c>
      <c r="DQ9" s="108" t="s">
        <v>256</v>
      </c>
      <c r="DR9" s="108" t="s">
        <v>257</v>
      </c>
      <c r="DS9" s="246"/>
      <c r="DT9" s="246"/>
      <c r="DU9" s="260"/>
      <c r="DV9" s="260"/>
      <c r="DW9" s="260"/>
      <c r="DX9" s="65" t="s">
        <v>153</v>
      </c>
      <c r="DY9" s="65" t="s">
        <v>154</v>
      </c>
      <c r="DZ9" s="65" t="s">
        <v>155</v>
      </c>
      <c r="EA9" s="65" t="s">
        <v>156</v>
      </c>
      <c r="EB9" s="65" t="s">
        <v>157</v>
      </c>
      <c r="EC9" s="108" t="s">
        <v>256</v>
      </c>
      <c r="ED9" s="108" t="s">
        <v>257</v>
      </c>
      <c r="EE9" s="260"/>
      <c r="EF9" s="260"/>
      <c r="EG9" s="246"/>
      <c r="EH9" s="246"/>
      <c r="EI9" s="31" t="s">
        <v>31</v>
      </c>
      <c r="EJ9" s="31" t="s">
        <v>32</v>
      </c>
      <c r="EK9" s="31" t="s">
        <v>33</v>
      </c>
      <c r="EL9" s="31" t="s">
        <v>34</v>
      </c>
      <c r="EM9" s="31" t="s">
        <v>35</v>
      </c>
      <c r="EN9" s="31" t="s">
        <v>36</v>
      </c>
      <c r="EO9" s="31" t="s">
        <v>37</v>
      </c>
      <c r="EP9" s="108" t="s">
        <v>256</v>
      </c>
      <c r="EQ9" s="108" t="s">
        <v>257</v>
      </c>
      <c r="ER9" s="260"/>
      <c r="ES9" s="260"/>
      <c r="ET9" s="65" t="s">
        <v>38</v>
      </c>
      <c r="EU9" s="65" t="s">
        <v>39</v>
      </c>
      <c r="EV9" s="65" t="s">
        <v>40</v>
      </c>
      <c r="EW9" s="65" t="s">
        <v>41</v>
      </c>
      <c r="EX9" s="65" t="s">
        <v>42</v>
      </c>
      <c r="EY9" s="65" t="s">
        <v>43</v>
      </c>
      <c r="EZ9" s="65" t="s">
        <v>44</v>
      </c>
      <c r="FA9" s="65" t="s">
        <v>45</v>
      </c>
      <c r="FB9" s="65" t="s">
        <v>46</v>
      </c>
      <c r="FC9" s="65" t="s">
        <v>47</v>
      </c>
      <c r="FD9" s="65" t="s">
        <v>48</v>
      </c>
      <c r="FE9" s="65" t="s">
        <v>49</v>
      </c>
      <c r="FF9" s="65" t="s">
        <v>50</v>
      </c>
      <c r="FG9" s="65" t="s">
        <v>51</v>
      </c>
      <c r="FH9" s="65" t="s">
        <v>52</v>
      </c>
      <c r="FI9" s="65" t="s">
        <v>53</v>
      </c>
      <c r="FJ9" s="65" t="s">
        <v>54</v>
      </c>
      <c r="FK9" s="65" t="s">
        <v>55</v>
      </c>
      <c r="FL9" s="65" t="s">
        <v>56</v>
      </c>
      <c r="FM9" s="65" t="s">
        <v>57</v>
      </c>
      <c r="FN9" s="108" t="s">
        <v>256</v>
      </c>
      <c r="FO9" s="108" t="s">
        <v>257</v>
      </c>
      <c r="FP9" s="246"/>
      <c r="FQ9" s="246"/>
      <c r="FR9" s="260"/>
      <c r="FS9" s="31" t="s">
        <v>58</v>
      </c>
      <c r="FT9" s="31" t="s">
        <v>59</v>
      </c>
      <c r="FU9" s="31" t="s">
        <v>60</v>
      </c>
      <c r="FV9" s="31" t="s">
        <v>61</v>
      </c>
      <c r="FW9" s="31" t="s">
        <v>62</v>
      </c>
      <c r="FX9" s="108" t="s">
        <v>256</v>
      </c>
      <c r="FY9" s="108" t="s">
        <v>257</v>
      </c>
      <c r="FZ9" s="260"/>
      <c r="GA9" s="65" t="s">
        <v>58</v>
      </c>
      <c r="GB9" s="65" t="s">
        <v>59</v>
      </c>
      <c r="GC9" s="65" t="s">
        <v>60</v>
      </c>
      <c r="GD9" s="65" t="s">
        <v>61</v>
      </c>
      <c r="GE9" s="65" t="s">
        <v>62</v>
      </c>
      <c r="GF9" s="108" t="s">
        <v>256</v>
      </c>
      <c r="GG9" s="108" t="s">
        <v>257</v>
      </c>
      <c r="GH9" s="246"/>
      <c r="GI9" s="246"/>
      <c r="GJ9" s="260"/>
      <c r="GK9" s="258"/>
      <c r="GL9" s="258"/>
      <c r="GM9" s="258"/>
      <c r="GN9" s="258"/>
      <c r="GO9" s="262"/>
      <c r="GP9" s="39" t="s">
        <v>148</v>
      </c>
      <c r="GQ9" s="39" t="s">
        <v>149</v>
      </c>
      <c r="GR9" s="39" t="s">
        <v>150</v>
      </c>
      <c r="GS9" s="39" t="s">
        <v>140</v>
      </c>
      <c r="GT9" s="39" t="s">
        <v>141</v>
      </c>
      <c r="GU9" s="108" t="s">
        <v>256</v>
      </c>
      <c r="GV9" s="108" t="s">
        <v>257</v>
      </c>
      <c r="GW9" s="262"/>
      <c r="GX9" s="114" t="s">
        <v>148</v>
      </c>
      <c r="GY9" s="114" t="s">
        <v>149</v>
      </c>
      <c r="GZ9" s="114" t="s">
        <v>150</v>
      </c>
      <c r="HA9" s="114" t="s">
        <v>140</v>
      </c>
      <c r="HB9" s="114" t="s">
        <v>141</v>
      </c>
      <c r="HC9" s="108" t="s">
        <v>256</v>
      </c>
      <c r="HD9" s="108" t="s">
        <v>257</v>
      </c>
      <c r="HE9" s="246"/>
      <c r="HF9" s="246"/>
      <c r="HG9" s="64" t="s">
        <v>113</v>
      </c>
      <c r="HH9" s="64" t="s">
        <v>114</v>
      </c>
      <c r="HI9" s="64" t="s">
        <v>120</v>
      </c>
      <c r="HJ9" s="64" t="s">
        <v>121</v>
      </c>
      <c r="HK9" s="64" t="s">
        <v>122</v>
      </c>
      <c r="HL9" s="64" t="s">
        <v>123</v>
      </c>
      <c r="HM9" s="64" t="s">
        <v>124</v>
      </c>
      <c r="HN9" s="64" t="s">
        <v>125</v>
      </c>
      <c r="HO9" s="64" t="s">
        <v>126</v>
      </c>
      <c r="HP9" s="64" t="s">
        <v>127</v>
      </c>
      <c r="HQ9" s="64" t="s">
        <v>128</v>
      </c>
      <c r="HR9" s="64" t="s">
        <v>129</v>
      </c>
      <c r="HS9" s="64" t="s">
        <v>130</v>
      </c>
      <c r="HT9" s="64" t="s">
        <v>131</v>
      </c>
      <c r="HU9" s="64" t="s">
        <v>132</v>
      </c>
      <c r="HV9" s="64" t="s">
        <v>133</v>
      </c>
      <c r="HW9" s="64" t="s">
        <v>134</v>
      </c>
      <c r="HX9" s="64" t="s">
        <v>135</v>
      </c>
      <c r="HY9" s="64" t="s">
        <v>136</v>
      </c>
      <c r="HZ9" s="91" t="s">
        <v>280</v>
      </c>
      <c r="IA9" s="91" t="s">
        <v>281</v>
      </c>
      <c r="IB9" s="254"/>
      <c r="IC9" s="254"/>
      <c r="ID9" s="64" t="s">
        <v>151</v>
      </c>
      <c r="IE9" s="64" t="s">
        <v>115</v>
      </c>
      <c r="IF9" s="64" t="s">
        <v>116</v>
      </c>
      <c r="IG9" s="64" t="s">
        <v>64</v>
      </c>
      <c r="IH9" s="64" t="s">
        <v>65</v>
      </c>
      <c r="II9" s="64" t="s">
        <v>66</v>
      </c>
      <c r="IJ9" s="64" t="s">
        <v>117</v>
      </c>
      <c r="IK9" s="64" t="s">
        <v>118</v>
      </c>
      <c r="IL9" s="64" t="s">
        <v>119</v>
      </c>
      <c r="IM9" s="64" t="s">
        <v>69</v>
      </c>
      <c r="IN9" s="64" t="s">
        <v>70</v>
      </c>
      <c r="IO9" s="91" t="s">
        <v>284</v>
      </c>
      <c r="IP9" s="91" t="s">
        <v>285</v>
      </c>
      <c r="IQ9" s="115" t="s">
        <v>63</v>
      </c>
      <c r="IR9" s="115" t="s">
        <v>116</v>
      </c>
      <c r="IS9" s="115" t="s">
        <v>64</v>
      </c>
      <c r="IT9" s="115" t="s">
        <v>65</v>
      </c>
      <c r="IU9" s="115" t="s">
        <v>66</v>
      </c>
      <c r="IV9" s="115" t="s">
        <v>117</v>
      </c>
      <c r="IW9" s="115" t="s">
        <v>282</v>
      </c>
      <c r="IX9" s="115" t="s">
        <v>283</v>
      </c>
      <c r="IY9" s="115" t="s">
        <v>67</v>
      </c>
      <c r="IZ9" s="115" t="s">
        <v>68</v>
      </c>
      <c r="JA9" s="115" t="s">
        <v>69</v>
      </c>
      <c r="JB9" s="116" t="s">
        <v>70</v>
      </c>
      <c r="JC9" s="91" t="s">
        <v>284</v>
      </c>
      <c r="JD9" s="91" t="s">
        <v>285</v>
      </c>
      <c r="JE9" s="91" t="s">
        <v>284</v>
      </c>
      <c r="JF9" s="91" t="s">
        <v>285</v>
      </c>
      <c r="JG9" s="250"/>
      <c r="JH9" s="250"/>
      <c r="JI9" s="64" t="s">
        <v>139</v>
      </c>
      <c r="JJ9" s="64" t="s">
        <v>139</v>
      </c>
      <c r="JK9" s="64" t="s">
        <v>120</v>
      </c>
      <c r="JL9" s="64" t="s">
        <v>121</v>
      </c>
      <c r="JM9" s="64" t="s">
        <v>122</v>
      </c>
      <c r="JN9" s="64" t="s">
        <v>123</v>
      </c>
      <c r="JO9" s="64" t="s">
        <v>124</v>
      </c>
      <c r="JP9" s="64" t="s">
        <v>125</v>
      </c>
      <c r="JQ9" s="64" t="s">
        <v>126</v>
      </c>
      <c r="JR9" s="64" t="s">
        <v>127</v>
      </c>
      <c r="JS9" s="64" t="s">
        <v>128</v>
      </c>
      <c r="JT9" s="64" t="s">
        <v>129</v>
      </c>
      <c r="JU9" s="64" t="s">
        <v>130</v>
      </c>
      <c r="JV9" s="64" t="s">
        <v>131</v>
      </c>
      <c r="JW9" s="64" t="s">
        <v>132</v>
      </c>
      <c r="JX9" s="64" t="s">
        <v>133</v>
      </c>
      <c r="JY9" s="64" t="s">
        <v>134</v>
      </c>
      <c r="JZ9" s="64" t="s">
        <v>135</v>
      </c>
      <c r="KA9" s="64" t="s">
        <v>136</v>
      </c>
      <c r="KB9" s="91" t="s">
        <v>280</v>
      </c>
      <c r="KC9" s="91" t="s">
        <v>281</v>
      </c>
      <c r="KD9" s="250"/>
      <c r="KE9" s="250"/>
      <c r="KF9" s="262"/>
      <c r="KG9" s="262"/>
      <c r="KH9" s="262"/>
      <c r="KI9" s="262"/>
      <c r="KJ9" s="246"/>
      <c r="KK9" s="246"/>
      <c r="KL9" s="262"/>
      <c r="KM9" s="262"/>
      <c r="KN9" s="246"/>
      <c r="KO9" s="246"/>
      <c r="KP9" s="242"/>
      <c r="KQ9" s="242"/>
      <c r="KR9" s="249"/>
      <c r="KS9" s="63" t="s">
        <v>142</v>
      </c>
      <c r="KT9" s="63" t="s">
        <v>142</v>
      </c>
      <c r="KU9" s="63" t="s">
        <v>120</v>
      </c>
      <c r="KV9" s="63" t="s">
        <v>121</v>
      </c>
      <c r="KW9" s="63" t="s">
        <v>122</v>
      </c>
      <c r="KX9" s="63" t="s">
        <v>123</v>
      </c>
      <c r="KY9" s="63" t="s">
        <v>124</v>
      </c>
      <c r="KZ9" s="63" t="s">
        <v>125</v>
      </c>
      <c r="LA9" s="63" t="s">
        <v>126</v>
      </c>
      <c r="LB9" s="63" t="s">
        <v>127</v>
      </c>
      <c r="LC9" s="63" t="s">
        <v>128</v>
      </c>
      <c r="LD9" s="63" t="s">
        <v>129</v>
      </c>
      <c r="LE9" s="63" t="s">
        <v>130</v>
      </c>
      <c r="LF9" s="63" t="s">
        <v>131</v>
      </c>
      <c r="LG9" s="63" t="s">
        <v>132</v>
      </c>
      <c r="LH9" s="63" t="s">
        <v>133</v>
      </c>
      <c r="LI9" s="63" t="s">
        <v>134</v>
      </c>
      <c r="LJ9" s="63" t="s">
        <v>135</v>
      </c>
      <c r="LK9" s="63" t="s">
        <v>136</v>
      </c>
      <c r="LL9" s="91" t="s">
        <v>284</v>
      </c>
      <c r="LM9" s="91" t="s">
        <v>285</v>
      </c>
      <c r="LN9" s="250"/>
      <c r="LO9" s="250"/>
      <c r="LP9" s="118" t="s">
        <v>143</v>
      </c>
      <c r="LQ9" s="117" t="s">
        <v>143</v>
      </c>
      <c r="LR9" s="117" t="s">
        <v>120</v>
      </c>
      <c r="LS9" s="117" t="s">
        <v>121</v>
      </c>
      <c r="LT9" s="117" t="s">
        <v>122</v>
      </c>
      <c r="LU9" s="117" t="s">
        <v>123</v>
      </c>
      <c r="LV9" s="117" t="s">
        <v>124</v>
      </c>
      <c r="LW9" s="117" t="s">
        <v>125</v>
      </c>
      <c r="LX9" s="117" t="s">
        <v>126</v>
      </c>
      <c r="LY9" s="117" t="s">
        <v>127</v>
      </c>
      <c r="LZ9" s="117" t="s">
        <v>128</v>
      </c>
      <c r="MA9" s="117" t="s">
        <v>129</v>
      </c>
      <c r="MB9" s="117" t="s">
        <v>130</v>
      </c>
      <c r="MC9" s="117" t="s">
        <v>131</v>
      </c>
      <c r="MD9" s="117" t="s">
        <v>132</v>
      </c>
      <c r="ME9" s="117" t="s">
        <v>133</v>
      </c>
      <c r="MF9" s="117" t="s">
        <v>134</v>
      </c>
      <c r="MG9" s="117" t="s">
        <v>135</v>
      </c>
      <c r="MH9" s="117" t="s">
        <v>136</v>
      </c>
      <c r="MI9" s="91" t="s">
        <v>284</v>
      </c>
      <c r="MJ9" s="91" t="s">
        <v>285</v>
      </c>
      <c r="MK9" s="250"/>
      <c r="ML9" s="250"/>
      <c r="MM9" s="63" t="s">
        <v>144</v>
      </c>
      <c r="MN9" s="63" t="s">
        <v>144</v>
      </c>
      <c r="MO9" s="63" t="s">
        <v>120</v>
      </c>
      <c r="MP9" s="63" t="s">
        <v>121</v>
      </c>
      <c r="MQ9" s="63" t="s">
        <v>122</v>
      </c>
      <c r="MR9" s="63" t="s">
        <v>123</v>
      </c>
      <c r="MS9" s="63" t="s">
        <v>124</v>
      </c>
      <c r="MT9" s="63" t="s">
        <v>125</v>
      </c>
      <c r="MU9" s="63" t="s">
        <v>126</v>
      </c>
      <c r="MV9" s="63" t="s">
        <v>127</v>
      </c>
      <c r="MW9" s="63" t="s">
        <v>128</v>
      </c>
      <c r="MX9" s="63" t="s">
        <v>129</v>
      </c>
      <c r="MY9" s="63" t="s">
        <v>130</v>
      </c>
      <c r="MZ9" s="63" t="s">
        <v>131</v>
      </c>
      <c r="NA9" s="63" t="s">
        <v>132</v>
      </c>
      <c r="NB9" s="63" t="s">
        <v>133</v>
      </c>
      <c r="NC9" s="63" t="s">
        <v>134</v>
      </c>
      <c r="ND9" s="63" t="s">
        <v>135</v>
      </c>
      <c r="NE9" s="63" t="s">
        <v>136</v>
      </c>
      <c r="NF9" s="91" t="s">
        <v>284</v>
      </c>
      <c r="NG9" s="91" t="s">
        <v>285</v>
      </c>
      <c r="NH9" s="254"/>
      <c r="NI9" s="254"/>
      <c r="NJ9" s="63" t="s">
        <v>146</v>
      </c>
      <c r="NK9" s="63" t="s">
        <v>146</v>
      </c>
      <c r="NL9" s="63" t="s">
        <v>120</v>
      </c>
      <c r="NM9" s="63" t="s">
        <v>121</v>
      </c>
      <c r="NN9" s="63" t="s">
        <v>122</v>
      </c>
      <c r="NO9" s="63" t="s">
        <v>123</v>
      </c>
      <c r="NP9" s="63" t="s">
        <v>124</v>
      </c>
      <c r="NQ9" s="63" t="s">
        <v>125</v>
      </c>
      <c r="NR9" s="63" t="s">
        <v>126</v>
      </c>
      <c r="NS9" s="63" t="s">
        <v>127</v>
      </c>
      <c r="NT9" s="63" t="s">
        <v>128</v>
      </c>
      <c r="NU9" s="63" t="s">
        <v>129</v>
      </c>
      <c r="NV9" s="63" t="s">
        <v>130</v>
      </c>
      <c r="NW9" s="63" t="s">
        <v>131</v>
      </c>
      <c r="NX9" s="63" t="s">
        <v>132</v>
      </c>
      <c r="NY9" s="63" t="s">
        <v>133</v>
      </c>
      <c r="NZ9" s="63" t="s">
        <v>134</v>
      </c>
      <c r="OA9" s="63" t="s">
        <v>135</v>
      </c>
      <c r="OB9" s="63" t="s">
        <v>136</v>
      </c>
      <c r="OC9" s="91" t="s">
        <v>284</v>
      </c>
      <c r="OD9" s="91" t="s">
        <v>285</v>
      </c>
      <c r="OE9" s="250"/>
      <c r="OF9" s="250"/>
      <c r="OG9" s="246"/>
      <c r="OH9" s="246"/>
      <c r="OI9" s="249"/>
      <c r="OJ9" s="249"/>
      <c r="OK9" s="249"/>
      <c r="OL9" s="249"/>
      <c r="OM9" s="249"/>
      <c r="ON9" s="249"/>
      <c r="OO9" s="249"/>
      <c r="OP9" s="249"/>
      <c r="OQ9" s="250"/>
      <c r="OR9" s="250"/>
      <c r="OS9" s="246"/>
      <c r="OT9" s="251"/>
      <c r="OU9" s="249"/>
      <c r="OV9" s="249"/>
      <c r="OW9" s="249"/>
      <c r="OX9" s="246"/>
      <c r="OY9" s="246"/>
      <c r="OZ9" s="244"/>
      <c r="PA9" s="244"/>
      <c r="PB9" s="13"/>
      <c r="PC9" s="13"/>
    </row>
    <row r="10" spans="1:419" x14ac:dyDescent="0.2">
      <c r="A10" s="133" t="s">
        <v>230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4" t="s">
        <v>293</v>
      </c>
      <c r="N10" s="133"/>
      <c r="O10" s="134" t="s">
        <v>293</v>
      </c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4"/>
      <c r="AU10" s="134"/>
      <c r="AV10" s="134"/>
      <c r="AW10" s="134"/>
      <c r="AX10" s="133"/>
      <c r="AY10" s="133"/>
      <c r="AZ10" s="133" t="s">
        <v>293</v>
      </c>
      <c r="BA10" s="133"/>
      <c r="BB10" s="133" t="s">
        <v>293</v>
      </c>
      <c r="BC10" s="133"/>
      <c r="BD10" s="133" t="s">
        <v>293</v>
      </c>
      <c r="BE10" s="133"/>
      <c r="BF10" s="133"/>
      <c r="BG10" s="133"/>
      <c r="BH10" s="133"/>
      <c r="BI10" s="133"/>
      <c r="BJ10" s="133"/>
      <c r="BK10" s="133"/>
      <c r="BL10" s="134"/>
      <c r="BM10" s="134"/>
      <c r="BN10" s="133"/>
      <c r="BO10" s="133" t="s">
        <v>293</v>
      </c>
      <c r="BP10" s="133"/>
      <c r="BQ10" s="133"/>
      <c r="BR10" s="133" t="s">
        <v>293</v>
      </c>
      <c r="BS10" s="133"/>
      <c r="BT10" s="133" t="s">
        <v>293</v>
      </c>
      <c r="BU10" s="133"/>
      <c r="BV10" s="133" t="s">
        <v>293</v>
      </c>
      <c r="BW10" s="133"/>
      <c r="BX10" s="134"/>
      <c r="BY10" s="134"/>
      <c r="BZ10" s="134"/>
      <c r="CA10" s="134"/>
      <c r="CB10" s="134"/>
      <c r="CC10" s="134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4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4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4"/>
      <c r="DS10" s="134"/>
      <c r="DT10" s="134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4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41">
        <v>0.23471074380165288</v>
      </c>
      <c r="GQ10" s="141">
        <v>3.8016528925619832E-2</v>
      </c>
      <c r="GR10" s="141">
        <v>6.4462809917355368E-2</v>
      </c>
      <c r="GS10" s="141">
        <v>0.27768595041322314</v>
      </c>
      <c r="GT10" s="141">
        <v>0.38512396694214879</v>
      </c>
      <c r="GU10" s="133"/>
      <c r="GV10" s="133"/>
      <c r="GW10" s="133"/>
      <c r="GX10" s="133">
        <v>0.23471074380165288</v>
      </c>
      <c r="GY10" s="133">
        <v>3.8016528925619832E-2</v>
      </c>
      <c r="GZ10" s="133">
        <v>6.4462809917355368E-2</v>
      </c>
      <c r="HA10" s="133">
        <v>0.27768595041322314</v>
      </c>
      <c r="HB10" s="133">
        <v>0.38512396694214879</v>
      </c>
      <c r="HC10" s="133"/>
      <c r="HD10" s="133"/>
      <c r="HE10" s="133"/>
      <c r="HF10" s="133"/>
      <c r="HG10" s="135">
        <v>0.33595394595523476</v>
      </c>
      <c r="HH10" s="135">
        <v>0.42973750912918329</v>
      </c>
      <c r="HI10" s="133">
        <v>7.6999999999999999E-2</v>
      </c>
      <c r="HJ10" s="133">
        <v>0.1</v>
      </c>
      <c r="HK10" s="133">
        <v>8.2000000000000003E-2</v>
      </c>
      <c r="HL10" s="133">
        <v>2.1000000000000001E-2</v>
      </c>
      <c r="HM10" s="133">
        <v>7.0000000000000001E-3</v>
      </c>
      <c r="HN10" s="133">
        <v>8.0000000000000002E-3</v>
      </c>
      <c r="HO10" s="133">
        <v>3.6999999999999998E-2</v>
      </c>
      <c r="HP10" s="133">
        <v>4.8000000000000001E-2</v>
      </c>
      <c r="HQ10" s="133">
        <v>3.5999999999999997E-2</v>
      </c>
      <c r="HR10" s="133">
        <v>0.13500000000000001</v>
      </c>
      <c r="HS10" s="133">
        <v>1.4E-2</v>
      </c>
      <c r="HT10" s="133">
        <v>0.193</v>
      </c>
      <c r="HU10" s="133">
        <v>3.1E-2</v>
      </c>
      <c r="HV10" s="133">
        <v>0.03</v>
      </c>
      <c r="HW10" s="133">
        <v>0.13600000000000001</v>
      </c>
      <c r="HX10" s="133">
        <v>2.4E-2</v>
      </c>
      <c r="HY10" s="133">
        <v>2.1000000000000001E-2</v>
      </c>
      <c r="HZ10" s="133">
        <v>0.2343085449155819</v>
      </c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  <c r="IW10" s="133"/>
      <c r="IX10" s="133"/>
      <c r="IY10" s="133"/>
      <c r="IZ10" s="133"/>
      <c r="JA10" s="133"/>
      <c r="JB10" s="133"/>
      <c r="JC10" s="133"/>
      <c r="JD10" s="133"/>
      <c r="JE10" s="133"/>
      <c r="JF10" s="133"/>
      <c r="JG10" s="133"/>
      <c r="JH10" s="133"/>
      <c r="JI10" s="135">
        <v>0.33595394595523476</v>
      </c>
      <c r="JJ10" s="135">
        <v>0.42973750912918329</v>
      </c>
      <c r="JK10" s="133">
        <v>7.6999999999999999E-2</v>
      </c>
      <c r="JL10" s="133">
        <v>0.1</v>
      </c>
      <c r="JM10" s="133">
        <v>8.2000000000000003E-2</v>
      </c>
      <c r="JN10" s="133">
        <v>2.1000000000000001E-2</v>
      </c>
      <c r="JO10" s="133">
        <v>7.0000000000000001E-3</v>
      </c>
      <c r="JP10" s="133">
        <v>8.0000000000000002E-3</v>
      </c>
      <c r="JQ10" s="133">
        <v>3.6999999999999998E-2</v>
      </c>
      <c r="JR10" s="133">
        <v>4.8000000000000001E-2</v>
      </c>
      <c r="JS10" s="133">
        <v>3.5999999999999997E-2</v>
      </c>
      <c r="JT10" s="133">
        <v>0.13500000000000001</v>
      </c>
      <c r="JU10" s="133">
        <v>1.4E-2</v>
      </c>
      <c r="JV10" s="133">
        <v>0.193</v>
      </c>
      <c r="JW10" s="133">
        <v>3.1E-2</v>
      </c>
      <c r="JX10" s="133">
        <v>0.03</v>
      </c>
      <c r="JY10" s="133">
        <v>0.13600000000000001</v>
      </c>
      <c r="JZ10" s="133">
        <v>2.4E-2</v>
      </c>
      <c r="KA10" s="133">
        <v>2.1000000000000001E-2</v>
      </c>
      <c r="KB10" s="133">
        <v>0.2343085449155819</v>
      </c>
      <c r="KC10" s="133"/>
      <c r="KD10" s="133"/>
      <c r="KE10" s="133"/>
      <c r="KF10" s="133"/>
      <c r="KG10" s="133"/>
      <c r="KH10" s="133"/>
      <c r="KI10" s="133"/>
      <c r="KJ10" s="133"/>
      <c r="KK10" s="133"/>
      <c r="KL10" s="133"/>
      <c r="KM10" s="133"/>
      <c r="KN10" s="133"/>
      <c r="KO10" s="133"/>
      <c r="KP10" s="133"/>
      <c r="KQ10" s="133"/>
      <c r="KR10" s="133"/>
      <c r="KS10" s="135">
        <v>0.33595394595523476</v>
      </c>
      <c r="KT10" s="135">
        <v>0.42973750912918329</v>
      </c>
      <c r="KU10" s="133">
        <v>7.6999999999999999E-2</v>
      </c>
      <c r="KV10" s="133">
        <v>0.1</v>
      </c>
      <c r="KW10" s="133">
        <v>8.2000000000000003E-2</v>
      </c>
      <c r="KX10" s="133">
        <v>2.1000000000000001E-2</v>
      </c>
      <c r="KY10" s="133">
        <v>7.0000000000000001E-3</v>
      </c>
      <c r="KZ10" s="133">
        <v>8.0000000000000002E-3</v>
      </c>
      <c r="LA10" s="133">
        <v>3.6999999999999998E-2</v>
      </c>
      <c r="LB10" s="133">
        <v>4.8000000000000001E-2</v>
      </c>
      <c r="LC10" s="133">
        <v>3.5999999999999997E-2</v>
      </c>
      <c r="LD10" s="133">
        <v>0.13500000000000001</v>
      </c>
      <c r="LE10" s="133">
        <v>1.4E-2</v>
      </c>
      <c r="LF10" s="133">
        <v>0.193</v>
      </c>
      <c r="LG10" s="133">
        <v>3.1E-2</v>
      </c>
      <c r="LH10" s="133">
        <v>0.03</v>
      </c>
      <c r="LI10" s="133">
        <v>0.13600000000000001</v>
      </c>
      <c r="LJ10" s="133">
        <v>2.4E-2</v>
      </c>
      <c r="LK10" s="133">
        <v>2.1000000000000001E-2</v>
      </c>
      <c r="LL10" s="133">
        <v>0.2343085449155819</v>
      </c>
      <c r="LM10" s="133"/>
      <c r="LN10" s="133"/>
      <c r="LO10" s="133"/>
      <c r="LP10" s="135">
        <v>0.33595394595523476</v>
      </c>
      <c r="LQ10" s="135">
        <v>0.42973750912918329</v>
      </c>
      <c r="LR10" s="133">
        <v>7.6999999999999999E-2</v>
      </c>
      <c r="LS10" s="133">
        <v>0.1</v>
      </c>
      <c r="LT10" s="133">
        <v>8.2000000000000003E-2</v>
      </c>
      <c r="LU10" s="133">
        <v>2.1000000000000001E-2</v>
      </c>
      <c r="LV10" s="133">
        <v>7.0000000000000001E-3</v>
      </c>
      <c r="LW10" s="133">
        <v>8.0000000000000002E-3</v>
      </c>
      <c r="LX10" s="133">
        <v>3.6999999999999998E-2</v>
      </c>
      <c r="LY10" s="133">
        <v>4.8000000000000001E-2</v>
      </c>
      <c r="LZ10" s="133">
        <v>3.5999999999999997E-2</v>
      </c>
      <c r="MA10" s="133">
        <v>0.13500000000000001</v>
      </c>
      <c r="MB10" s="133">
        <v>1.4E-2</v>
      </c>
      <c r="MC10" s="133">
        <v>0.193</v>
      </c>
      <c r="MD10" s="133">
        <v>3.1E-2</v>
      </c>
      <c r="ME10" s="133">
        <v>0.03</v>
      </c>
      <c r="MF10" s="133">
        <v>0.13600000000000001</v>
      </c>
      <c r="MG10" s="133">
        <v>2.4E-2</v>
      </c>
      <c r="MH10" s="133">
        <v>2.1000000000000001E-2</v>
      </c>
      <c r="MI10" s="133">
        <v>0.23430854491558201</v>
      </c>
      <c r="MJ10" s="133"/>
      <c r="MK10" s="133"/>
      <c r="ML10" s="133"/>
      <c r="MM10" s="135">
        <v>0.33595394595523476</v>
      </c>
      <c r="MN10" s="135">
        <v>0.42973750912918329</v>
      </c>
      <c r="MO10" s="133">
        <v>7.6999999999999999E-2</v>
      </c>
      <c r="MP10" s="133">
        <v>0.1</v>
      </c>
      <c r="MQ10" s="133">
        <v>8.2000000000000003E-2</v>
      </c>
      <c r="MR10" s="133">
        <v>2.1000000000000001E-2</v>
      </c>
      <c r="MS10" s="133">
        <v>7.0000000000000001E-3</v>
      </c>
      <c r="MT10" s="133">
        <v>8.0000000000000002E-3</v>
      </c>
      <c r="MU10" s="133">
        <v>3.6999999999999998E-2</v>
      </c>
      <c r="MV10" s="133">
        <v>4.8000000000000001E-2</v>
      </c>
      <c r="MW10" s="133">
        <v>3.5999999999999997E-2</v>
      </c>
      <c r="MX10" s="133">
        <v>0.13500000000000001</v>
      </c>
      <c r="MY10" s="133">
        <v>1.4E-2</v>
      </c>
      <c r="MZ10" s="133">
        <v>0.193</v>
      </c>
      <c r="NA10" s="133">
        <v>3.1E-2</v>
      </c>
      <c r="NB10" s="133">
        <v>0.03</v>
      </c>
      <c r="NC10" s="133">
        <v>0.13600000000000001</v>
      </c>
      <c r="ND10" s="133">
        <v>2.4E-2</v>
      </c>
      <c r="NE10" s="133">
        <v>2.1000000000000001E-2</v>
      </c>
      <c r="NF10" s="133">
        <v>0.2343085449155819</v>
      </c>
      <c r="NG10" s="133"/>
      <c r="NH10" s="133"/>
      <c r="NI10" s="133"/>
      <c r="NJ10" s="135">
        <v>0.33595394595523476</v>
      </c>
      <c r="NK10" s="135">
        <v>0.42973750912918329</v>
      </c>
      <c r="NL10" s="133">
        <v>7.6999999999999999E-2</v>
      </c>
      <c r="NM10" s="133">
        <v>0.1</v>
      </c>
      <c r="NN10" s="133">
        <v>8.2000000000000003E-2</v>
      </c>
      <c r="NO10" s="133">
        <v>2.1000000000000001E-2</v>
      </c>
      <c r="NP10" s="133">
        <v>7.0000000000000001E-3</v>
      </c>
      <c r="NQ10" s="133">
        <v>8.0000000000000002E-3</v>
      </c>
      <c r="NR10" s="133">
        <v>3.6999999999999998E-2</v>
      </c>
      <c r="NS10" s="133">
        <v>4.8000000000000001E-2</v>
      </c>
      <c r="NT10" s="133">
        <v>3.5999999999999997E-2</v>
      </c>
      <c r="NU10" s="133">
        <v>0.13500000000000001</v>
      </c>
      <c r="NV10" s="133">
        <v>1.4E-2</v>
      </c>
      <c r="NW10" s="133">
        <v>0.193</v>
      </c>
      <c r="NX10" s="133">
        <v>3.1E-2</v>
      </c>
      <c r="NY10" s="133">
        <v>0.03</v>
      </c>
      <c r="NZ10" s="133">
        <v>0.13600000000000001</v>
      </c>
      <c r="OA10" s="133">
        <v>2.4E-2</v>
      </c>
      <c r="OB10" s="133">
        <v>2.1000000000000001E-2</v>
      </c>
      <c r="OC10" s="133">
        <v>0.2343085449155819</v>
      </c>
      <c r="OD10" s="133"/>
      <c r="OE10" s="133"/>
      <c r="OF10" s="133"/>
      <c r="OG10" s="133"/>
      <c r="OH10" s="133"/>
      <c r="OI10" s="133"/>
      <c r="OJ10" s="133"/>
      <c r="OK10" s="133"/>
      <c r="OL10" s="133">
        <v>0.23471074380165288</v>
      </c>
      <c r="OM10" s="133">
        <v>3.8016528925619832E-2</v>
      </c>
      <c r="ON10" s="133">
        <v>6.4462809917355368E-2</v>
      </c>
      <c r="OO10" s="133">
        <v>0.27768595041322314</v>
      </c>
      <c r="OP10" s="133">
        <v>0.38512396694214879</v>
      </c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6"/>
    </row>
    <row r="11" spans="1:419" s="2" customFormat="1" x14ac:dyDescent="0.2">
      <c r="A11" s="7" t="s">
        <v>74</v>
      </c>
      <c r="B11" s="121">
        <v>0.12139999999999999</v>
      </c>
      <c r="C11" s="121">
        <v>0.46779999999999999</v>
      </c>
      <c r="D11" s="121">
        <f>+AVERAGE(B11:C11)</f>
        <v>0.29459999999999997</v>
      </c>
      <c r="E11" s="121">
        <f>+GEOMEAN(B11:C11)</f>
        <v>0.23830845557805957</v>
      </c>
      <c r="F11" s="122">
        <v>1.7600000000000001E-2</v>
      </c>
      <c r="G11" s="123">
        <v>0.96</v>
      </c>
      <c r="H11" s="123">
        <v>1</v>
      </c>
      <c r="I11" s="123">
        <v>0.92</v>
      </c>
      <c r="J11" s="123">
        <f>+AVERAGE(G11:I11)</f>
        <v>0.96</v>
      </c>
      <c r="K11" s="123">
        <f>+GEOMEAN(G11:I11)</f>
        <v>0.95944412263193679</v>
      </c>
      <c r="L11" s="124">
        <v>2.0299999999999999E-2</v>
      </c>
      <c r="M11" s="124">
        <f>1-L11</f>
        <v>0.97970000000000002</v>
      </c>
      <c r="N11" s="124">
        <v>2.2499999999999999E-2</v>
      </c>
      <c r="O11" s="124">
        <f>1-N11</f>
        <v>0.97750000000000004</v>
      </c>
      <c r="P11" s="123">
        <v>0.31230000000000002</v>
      </c>
      <c r="Q11" s="123">
        <f>+AVERAGE(M11,O11,P11)</f>
        <v>0.75649999999999995</v>
      </c>
      <c r="R11" s="123">
        <f>+GEOMEAN(M11,O11,P11)</f>
        <v>0.66874511008856452</v>
      </c>
      <c r="S11" s="125">
        <f>13732/25795</f>
        <v>0.53235123085869351</v>
      </c>
      <c r="T11" s="125">
        <v>0.30599999999999999</v>
      </c>
      <c r="U11" s="125">
        <v>0.114</v>
      </c>
      <c r="V11" s="125">
        <v>0.70399999999999996</v>
      </c>
      <c r="W11" s="125">
        <v>4.9000000000000002E-2</v>
      </c>
      <c r="X11" s="125">
        <f>+AVERAGE(S11:W11)</f>
        <v>0.34107024617173864</v>
      </c>
      <c r="Y11" s="125">
        <f>+GEOMEAN(S11:W11)</f>
        <v>0.2297834024865861</v>
      </c>
      <c r="Z11" s="125">
        <v>0.159</v>
      </c>
      <c r="AA11" s="125">
        <v>7.2999999999999995E-2</v>
      </c>
      <c r="AB11" s="125">
        <v>0.32600000000000001</v>
      </c>
      <c r="AC11" s="125">
        <v>0.314</v>
      </c>
      <c r="AD11" s="125">
        <v>0.23699999999999999</v>
      </c>
      <c r="AE11" s="125">
        <v>0.14899999999999999</v>
      </c>
      <c r="AF11" s="125">
        <v>5.1999999999999998E-2</v>
      </c>
      <c r="AG11" s="125">
        <v>9.9000000000000005E-2</v>
      </c>
      <c r="AH11" s="125">
        <v>0.39900000000000002</v>
      </c>
      <c r="AI11" s="125">
        <v>0.22</v>
      </c>
      <c r="AJ11" s="125">
        <v>0.23699999999999999</v>
      </c>
      <c r="AK11" s="125">
        <v>0.33600000000000002</v>
      </c>
      <c r="AL11" s="125">
        <v>0.113</v>
      </c>
      <c r="AM11" s="125">
        <v>0.10100000000000001</v>
      </c>
      <c r="AN11" s="125">
        <v>0.54800000000000004</v>
      </c>
      <c r="AO11" s="125">
        <v>0.18099999999999999</v>
      </c>
      <c r="AP11" s="125">
        <v>8.7999999999999995E-2</v>
      </c>
      <c r="AQ11" s="125">
        <v>0.11600000000000001</v>
      </c>
      <c r="AR11" s="125">
        <v>5.5E-2</v>
      </c>
      <c r="AS11" s="125">
        <v>8.8999999999999996E-2</v>
      </c>
      <c r="AT11" s="125">
        <f>+AVERAGE(Z11:AS11)</f>
        <v>0.19460000000000002</v>
      </c>
      <c r="AU11" s="125">
        <f>+GEOMEAN(Z11:AS11)</f>
        <v>0.15724389562227437</v>
      </c>
      <c r="AV11" s="125">
        <f>+AVERAGE(X11,AT11)</f>
        <v>0.26783512308586932</v>
      </c>
      <c r="AW11" s="125">
        <f>+GEOMEAN(Y11,AU11)</f>
        <v>0.1900842901355391</v>
      </c>
      <c r="AX11" s="125">
        <v>0.16600000000000001</v>
      </c>
      <c r="AY11" s="125">
        <v>5.1999999999999998E-2</v>
      </c>
      <c r="AZ11" s="125">
        <f>1-AY11</f>
        <v>0.94799999999999995</v>
      </c>
      <c r="BA11" s="126">
        <v>0.28799999999999998</v>
      </c>
      <c r="BB11" s="126">
        <f>1-BA11</f>
        <v>0.71199999999999997</v>
      </c>
      <c r="BC11" s="126">
        <v>7.8E-2</v>
      </c>
      <c r="BD11" s="126">
        <f>1-BC11</f>
        <v>0.92200000000000004</v>
      </c>
      <c r="BE11" s="126">
        <v>0.35699999999999998</v>
      </c>
      <c r="BF11" s="126">
        <v>0.379</v>
      </c>
      <c r="BG11" s="126">
        <v>0.40799999999999997</v>
      </c>
      <c r="BH11" s="126">
        <v>0.41</v>
      </c>
      <c r="BI11" s="126">
        <v>0.19500000000000001</v>
      </c>
      <c r="BJ11" s="126">
        <v>0.24199999999999999</v>
      </c>
      <c r="BK11" s="126">
        <v>0.33299999999999996</v>
      </c>
      <c r="BL11" s="126">
        <f>+AVERAGE(BD11:BK11)</f>
        <v>0.40574999999999994</v>
      </c>
      <c r="BM11" s="126">
        <f>+GEOMEAN(BD11:BK11)</f>
        <v>0.36683610389082477</v>
      </c>
      <c r="BN11" s="126">
        <v>0.17</v>
      </c>
      <c r="BO11" s="126">
        <f>1-BN11</f>
        <v>0.83</v>
      </c>
      <c r="BP11" s="126">
        <v>0.54300000000000004</v>
      </c>
      <c r="BQ11" s="126">
        <v>0.10299999999999999</v>
      </c>
      <c r="BR11" s="126">
        <f>1-BQ11</f>
        <v>0.89700000000000002</v>
      </c>
      <c r="BS11" s="126">
        <v>4.2000000000000003E-2</v>
      </c>
      <c r="BT11" s="126">
        <f>1-BS11</f>
        <v>0.95799999999999996</v>
      </c>
      <c r="BU11" s="126">
        <v>6.9000000000000006E-2</v>
      </c>
      <c r="BV11" s="126">
        <f>1-BU11</f>
        <v>0.93100000000000005</v>
      </c>
      <c r="BW11" s="126">
        <v>0.121</v>
      </c>
      <c r="BX11" s="126">
        <f>+AVERAGE(BO11,BP11,BR11,BT11,BV11,BW11)</f>
        <v>0.71333333333333326</v>
      </c>
      <c r="BY11" s="126">
        <f>+GEOMEAN(BO11,BP11,BR11,BT11,BV11,BW11)</f>
        <v>0.59332842410572362</v>
      </c>
      <c r="BZ11" s="126">
        <f>+AVERAGE(AX11,AZ11,BB11,BL11,BX11)</f>
        <v>0.58901666666666663</v>
      </c>
      <c r="CA11" s="126">
        <f>+GEOMEAN(AX11,AZ11,BB11,BM11,BY11)</f>
        <v>0.47580908388775778</v>
      </c>
      <c r="CB11" s="127">
        <f>+AVERAGE(D11,F11,J11,Q11,AV11,BZ11)</f>
        <v>0.4809252982920893</v>
      </c>
      <c r="CC11" s="127">
        <f>+GEOMEAN(E11,F11,K11,R11,AW11,CA11)</f>
        <v>0.24987255836199651</v>
      </c>
      <c r="CD11" s="126">
        <v>0.58140000000000003</v>
      </c>
      <c r="CE11" s="126">
        <v>0.65500000000000003</v>
      </c>
      <c r="CF11" s="126">
        <v>0.152</v>
      </c>
      <c r="CG11" s="126">
        <f>+AVERAGE(CD11:CF11)</f>
        <v>0.46280000000000004</v>
      </c>
      <c r="CH11" s="126">
        <f>+GEOMEAN(CD11:CF11)</f>
        <v>0.38682984327003694</v>
      </c>
      <c r="CI11" s="128">
        <v>0.65920000000000001</v>
      </c>
      <c r="CJ11" s="128">
        <v>0.66359999999999997</v>
      </c>
      <c r="CK11" s="128">
        <v>0.75370000000000004</v>
      </c>
      <c r="CL11" s="128">
        <v>9.74E-2</v>
      </c>
      <c r="CM11" s="128">
        <v>9.7900000000000001E-2</v>
      </c>
      <c r="CN11" s="128">
        <v>0.40360000000000001</v>
      </c>
      <c r="CO11" s="128">
        <v>8.2199999999999995E-2</v>
      </c>
      <c r="CP11" s="128">
        <v>0.40760000000000002</v>
      </c>
      <c r="CQ11" s="128">
        <v>0.16900000000000001</v>
      </c>
      <c r="CR11" s="128">
        <v>4.7999999999999996E-3</v>
      </c>
      <c r="CS11" s="128">
        <f>+AVERAGE(CI11:CR11)</f>
        <v>0.33389999999999997</v>
      </c>
      <c r="CT11" s="137">
        <f>+GEOMEAN(CI11:CR11)</f>
        <v>0.17937622634683595</v>
      </c>
      <c r="CU11" s="124">
        <v>0.13441688267874041</v>
      </c>
      <c r="CV11" s="124">
        <v>8.729706494804694E-2</v>
      </c>
      <c r="CW11" s="124">
        <v>4.9281715148899036E-2</v>
      </c>
      <c r="CX11" s="124">
        <v>0.19755212006852696</v>
      </c>
      <c r="CY11" s="124">
        <v>0.87307370177984733</v>
      </c>
      <c r="CZ11" s="124">
        <v>0.47646455415982486</v>
      </c>
      <c r="DA11" s="124">
        <v>0.87507889951896645</v>
      </c>
      <c r="DB11" s="124">
        <v>0.29116573967980458</v>
      </c>
      <c r="DC11" s="124">
        <v>0.33806055295078197</v>
      </c>
      <c r="DD11" s="124">
        <v>3.6537728985069066E-2</v>
      </c>
      <c r="DE11" s="124">
        <f>+AVERAGE(CU11:DD11)</f>
        <v>0.33589289599185079</v>
      </c>
      <c r="DF11" s="137">
        <f>+GEOMEAN(CU11:DD11)</f>
        <v>0.20772205031736576</v>
      </c>
      <c r="DG11" s="125">
        <v>0.79666531278137787</v>
      </c>
      <c r="DH11" s="125">
        <v>0.92786268998121135</v>
      </c>
      <c r="DI11" s="125">
        <v>0.71799999999999997</v>
      </c>
      <c r="DJ11" s="125">
        <v>0.5836752151048098</v>
      </c>
      <c r="DK11" s="125">
        <v>0.62083788862776712</v>
      </c>
      <c r="DL11" s="125">
        <v>0.73291874161894877</v>
      </c>
      <c r="DM11" s="125">
        <v>0.36599999999999999</v>
      </c>
      <c r="DN11" s="125">
        <v>0.65900000000000003</v>
      </c>
      <c r="DO11" s="125">
        <v>0.67100000000000004</v>
      </c>
      <c r="DP11" s="125">
        <v>0.35</v>
      </c>
      <c r="DQ11" s="125">
        <f>+AVERAGE(DG11:DP11)</f>
        <v>0.64259598481141145</v>
      </c>
      <c r="DR11" s="124">
        <f>+AVERAGE(DG11:DP11)</f>
        <v>0.64259598481141145</v>
      </c>
      <c r="DS11" s="124">
        <f>+AVERAGE(DE11,DQ11)</f>
        <v>0.48924444040163112</v>
      </c>
      <c r="DT11" s="124">
        <f>+GEOMEAN(DF11,DR11)</f>
        <v>0.36535100313360741</v>
      </c>
      <c r="DU11" s="123">
        <v>2.4199999999999999E-2</v>
      </c>
      <c r="DV11" s="123">
        <v>0.1744</v>
      </c>
      <c r="DW11" s="125">
        <v>0.38100000000000001</v>
      </c>
      <c r="DX11" s="129">
        <v>0.58507394578000871</v>
      </c>
      <c r="DY11" s="123">
        <v>0.71556283835639167</v>
      </c>
      <c r="DZ11" s="123">
        <v>0.18211611457966023</v>
      </c>
      <c r="EA11" s="123">
        <v>0.13552923606645786</v>
      </c>
      <c r="EB11" s="123">
        <v>6.0753769886540417E-2</v>
      </c>
      <c r="EC11" s="123">
        <f>+AVERAGE(DX11:EB11)</f>
        <v>0.33580718093381179</v>
      </c>
      <c r="ED11" s="137">
        <f>+GEOMEAN(DX11:EB11)</f>
        <v>0.22885617077550377</v>
      </c>
      <c r="EE11" s="123">
        <v>0.4904</v>
      </c>
      <c r="EF11" s="129">
        <v>0.39</v>
      </c>
      <c r="EG11" s="129">
        <f>+AVERAGE(EC11,EE11,EF11)</f>
        <v>0.4054023936446039</v>
      </c>
      <c r="EH11" s="129">
        <f>+GEOMEAN(ED11,EE11,EF11)</f>
        <v>0.35241893291381693</v>
      </c>
      <c r="EI11" s="129">
        <v>0.81179999999999997</v>
      </c>
      <c r="EJ11" s="129">
        <v>0.76400000000000001</v>
      </c>
      <c r="EK11" s="129">
        <v>0.75890000000000002</v>
      </c>
      <c r="EL11" s="129">
        <v>0.61550000000000005</v>
      </c>
      <c r="EM11" s="129">
        <v>0.54820000000000002</v>
      </c>
      <c r="EN11" s="129">
        <v>0.58650000000000002</v>
      </c>
      <c r="EO11" s="129">
        <v>0.6583</v>
      </c>
      <c r="EP11" s="129">
        <f>+AVERAGE(EI11:EO11)</f>
        <v>0.67759999999999998</v>
      </c>
      <c r="EQ11" s="2">
        <f>+GEOMEAN(EI11:EO11)</f>
        <v>0.67111661107071519</v>
      </c>
      <c r="ER11" s="129">
        <v>4.07E-2</v>
      </c>
      <c r="ES11" s="24">
        <v>9.74E-2</v>
      </c>
      <c r="ET11" s="25">
        <v>0.24009025624597347</v>
      </c>
      <c r="EU11" s="41">
        <v>0.26153795156961451</v>
      </c>
      <c r="EV11" s="25">
        <v>0.34510783379575644</v>
      </c>
      <c r="EW11" s="25">
        <v>0.29615467002575907</v>
      </c>
      <c r="EX11" s="25">
        <v>0.24092362084892521</v>
      </c>
      <c r="EY11" s="22">
        <v>0.2613758214009072</v>
      </c>
      <c r="EZ11" s="22">
        <v>0.21224662690756571</v>
      </c>
      <c r="FA11" s="22">
        <v>0.28232328310628424</v>
      </c>
      <c r="FB11" s="22">
        <v>0.25151817743953181</v>
      </c>
      <c r="FC11" s="22">
        <v>0.22753371683676615</v>
      </c>
      <c r="FD11" s="22">
        <v>0.24025338005188701</v>
      </c>
      <c r="FE11" s="22">
        <v>0.25227177196445821</v>
      </c>
      <c r="FF11" s="22">
        <v>0.2380688006525534</v>
      </c>
      <c r="FG11" s="22">
        <v>0.29893425609785224</v>
      </c>
      <c r="FH11" s="22">
        <v>0.35502463142601975</v>
      </c>
      <c r="FI11" s="22">
        <v>0.27597622294200019</v>
      </c>
      <c r="FJ11" s="22">
        <v>0.20726651377968439</v>
      </c>
      <c r="FK11" s="22">
        <v>0.24652342098078817</v>
      </c>
      <c r="FL11" s="22">
        <v>0.21846487664928535</v>
      </c>
      <c r="FM11" s="22">
        <v>0.22143447388944845</v>
      </c>
      <c r="FN11" s="22">
        <f>+AVERAGE(ET11:FM11)</f>
        <v>0.25865151533055297</v>
      </c>
      <c r="FO11" s="22">
        <f>+GEOMEAN(ET11:FM11)</f>
        <v>0.25587893684834989</v>
      </c>
      <c r="FP11" s="22">
        <f>+AVERAGE(ES11,FN11)</f>
        <v>0.17802575766527648</v>
      </c>
      <c r="FQ11" s="22">
        <f>+GEOMEAN(ES11,FO11)</f>
        <v>0.15786895973885834</v>
      </c>
      <c r="FR11" s="130">
        <v>0.30299999999999999</v>
      </c>
      <c r="FS11" s="218">
        <v>0.6831199749562118</v>
      </c>
      <c r="FT11" s="218">
        <v>0.38753690379377426</v>
      </c>
      <c r="FU11" s="218">
        <v>0.54422688562205501</v>
      </c>
      <c r="FV11" s="218">
        <v>0.57160971463158228</v>
      </c>
      <c r="FW11" s="218">
        <v>0.42131495619721454</v>
      </c>
      <c r="FX11" s="130">
        <f>+AVERAGE(FS11:FW11)</f>
        <v>0.52156168704016759</v>
      </c>
      <c r="FY11" s="130">
        <f>+GEOMEAN(FS11:FW11)</f>
        <v>0.51057471547989008</v>
      </c>
      <c r="FZ11" s="130">
        <v>0.35349999999999998</v>
      </c>
      <c r="GA11" s="126">
        <v>0.71855770779012351</v>
      </c>
      <c r="GB11" s="126">
        <v>0.480529724933487</v>
      </c>
      <c r="GC11" s="126">
        <v>0.64245565416788697</v>
      </c>
      <c r="GD11" s="126">
        <v>0.45620481723722028</v>
      </c>
      <c r="GE11" s="126">
        <v>0.40600108959978276</v>
      </c>
      <c r="GF11" s="130">
        <f>+AVERAGE(GA11:GE11)</f>
        <v>0.54074979874570006</v>
      </c>
      <c r="GG11" s="130">
        <f>+GEOMEAN(GA11:GE11)</f>
        <v>0.52813193158388916</v>
      </c>
      <c r="GH11" s="130">
        <f>+AVERAGE(FR11,FX11,FZ11,GF11)</f>
        <v>0.42970287144646691</v>
      </c>
      <c r="GI11" s="130">
        <f>+GEOMEAN(FR11,FY11,FZ11,GG11)</f>
        <v>0.41224789261985162</v>
      </c>
      <c r="GJ11" s="126">
        <v>0.41899999999999998</v>
      </c>
      <c r="GK11" s="126">
        <f>+AVERAGE(CG11,CS11,DS11,DU11,DV11,DW11,EG11,EP11,ER11,FP11,GH11,GJ11)</f>
        <v>0.33466462192983154</v>
      </c>
      <c r="GL11" s="126">
        <f>+GEOMEAN(CH11,CT11,DT11,DU11:DW11,EH11,EQ11,ER11,FQ11,GI11,GJ11)</f>
        <v>0.21666240957570737</v>
      </c>
      <c r="GM11" s="126">
        <f>+AVERAGE(CG12,CS11,DS11,DV11,DW11,EG11,EP11,FP11,GH11,GJ11)</f>
        <v>0.38758616257310874</v>
      </c>
      <c r="GN11" s="126">
        <f>+GEOMEAN(CH11,CT11,DT11,DV11:DW11,EH11,EQ11,FQ11,GI11,GJ11)</f>
        <v>0.31885945907340069</v>
      </c>
      <c r="GO11" s="126">
        <v>0.33333333333333331</v>
      </c>
      <c r="GP11" s="126">
        <v>0.2535</v>
      </c>
      <c r="GQ11" s="126">
        <v>0.3478</v>
      </c>
      <c r="GR11" s="126">
        <v>0.3846</v>
      </c>
      <c r="GS11" s="126">
        <v>0.3155</v>
      </c>
      <c r="GT11" s="126">
        <v>0.39910000000000001</v>
      </c>
      <c r="GU11" s="126">
        <f>+(GP10*GP11)+(GQ10*GQ11)+(GR10*GR11)+(GS10*GS11)+(GT10*GT11)</f>
        <v>0.33882661157024796</v>
      </c>
      <c r="GV11" s="142">
        <f>+(GP11^GP10)*(GQ11^GQ10)*(GR11^GR10)*(GS11^GS10)*(GT11^GT10)</f>
        <v>0.33355301751101313</v>
      </c>
      <c r="GW11" s="126">
        <v>0.14779999999999999</v>
      </c>
      <c r="GX11" s="126">
        <v>0</v>
      </c>
      <c r="GY11" s="126">
        <v>0</v>
      </c>
      <c r="GZ11" s="126">
        <v>9.7999999999999997E-3</v>
      </c>
      <c r="HA11" s="126">
        <v>5.0000000000000001E-4</v>
      </c>
      <c r="HB11" s="126">
        <v>2.2800000000000001E-2</v>
      </c>
      <c r="HC11" s="126">
        <f>+(GX10*GX11)+(GY10*GY11)+(GZ10*GZ11)+(HA10*HA11)+(HB10*HB11)</f>
        <v>9.551404958677687E-3</v>
      </c>
      <c r="HD11" s="142">
        <f>+(GZ11^GZ10)*(HA11^HA10)*(HB11^HB10)</f>
        <v>2.0963340619784571E-2</v>
      </c>
      <c r="HE11" s="126">
        <f>+AVERAGE(GO11,GU11,GW11,HC11)</f>
        <v>0.20737783746556473</v>
      </c>
      <c r="HF11" s="126">
        <f>+GEOMEAN(GO11,GV11,GW11,HD11)</f>
        <v>0.13623686333646137</v>
      </c>
      <c r="HG11" s="126">
        <v>0.99299999999999999</v>
      </c>
      <c r="HH11" s="126">
        <v>0.99399999999999999</v>
      </c>
      <c r="HI11" s="126">
        <v>0.995</v>
      </c>
      <c r="HJ11" s="126">
        <v>1</v>
      </c>
      <c r="HK11" s="126">
        <v>0.995</v>
      </c>
      <c r="HL11" s="126">
        <v>1</v>
      </c>
      <c r="HM11" s="126">
        <v>1</v>
      </c>
      <c r="HN11" s="126">
        <v>1</v>
      </c>
      <c r="HO11" s="126">
        <v>1</v>
      </c>
      <c r="HP11" s="126">
        <v>1</v>
      </c>
      <c r="HQ11" s="126">
        <v>1</v>
      </c>
      <c r="HR11" s="126">
        <v>0.997</v>
      </c>
      <c r="HS11" s="126">
        <v>0.98699999999999999</v>
      </c>
      <c r="HT11" s="126">
        <v>0.99299999999999999</v>
      </c>
      <c r="HU11" s="126">
        <v>1</v>
      </c>
      <c r="HV11" s="126">
        <v>1</v>
      </c>
      <c r="HW11" s="126">
        <v>1</v>
      </c>
      <c r="HX11" s="126">
        <v>1</v>
      </c>
      <c r="HY11" s="126">
        <v>1</v>
      </c>
      <c r="HZ11" s="126">
        <f>+(HI10*HI11)+(HJ10*HJ11)+(HK10*HK11)+(HL10*HL11)+(HM10*HM11)+(HN10*HN11)+(HO10*HO11)+(HP10*HP11)+(HQ10*HQ11)+(HR10*HR11)+(HS10*HS11)+(HT10*HT11)+(HU10*HU11)+(HV10*HV11)+(HW10*HW11)+(HX10*HX11)+(HY10*HY11)</f>
        <v>0.99726700000000024</v>
      </c>
      <c r="IA11" s="126">
        <f>+(HI11^HI10)*(HJ11^HJ10)*(HK11^HK10)*(HL11^HL10)*(HM11^HM10)*(HN11^HN10)*(HO11^HO10)*(HP11^HP10)*(HQ11^HQ10)*(HR11^HR10)*(HS11^HS10)*(HT11^HT10)*(HU11^HU10)*(HV11^HV10)*(HW11^HW10)*(HX11^HX10)*(HY11^HY10)</f>
        <v>0.99726220770358653</v>
      </c>
      <c r="IB11" s="150">
        <f>+(HG10*HG11)+(HH10*HH11)+(HZ10*HZ11)</f>
        <v>0.99442953207028395</v>
      </c>
      <c r="IC11" s="150">
        <f>+(HG11^HG10)*(HH11^HH10)*(IA11^HZ10)</f>
        <v>0.99442708026913718</v>
      </c>
      <c r="ID11" s="126">
        <v>0.22170000000000001</v>
      </c>
      <c r="IE11" s="126">
        <v>0.99</v>
      </c>
      <c r="IF11" s="126">
        <v>0.98099999999999998</v>
      </c>
      <c r="IG11" s="126">
        <v>0.96199999999999997</v>
      </c>
      <c r="IH11" s="126">
        <v>0.79800000000000004</v>
      </c>
      <c r="II11" s="126">
        <v>0.85399999999999998</v>
      </c>
      <c r="IJ11" s="126">
        <v>0.253</v>
      </c>
      <c r="IK11" s="126">
        <v>0.73199999999999998</v>
      </c>
      <c r="IL11" s="126">
        <v>0.73099999999999998</v>
      </c>
      <c r="IM11" s="126">
        <v>0.78200000000000003</v>
      </c>
      <c r="IN11" s="126">
        <v>0.51</v>
      </c>
      <c r="IO11" s="126">
        <f>+AVERAGE(IE11:IN11)</f>
        <v>0.75929999999999997</v>
      </c>
      <c r="IP11" s="126">
        <f>+GEOMEAN(IE11:IN11)</f>
        <v>0.71388226753078743</v>
      </c>
      <c r="IQ11" s="126">
        <v>0.999</v>
      </c>
      <c r="IR11" s="126">
        <v>0.97299999999999998</v>
      </c>
      <c r="IS11" s="126">
        <v>0.95299999999999996</v>
      </c>
      <c r="IT11" s="126">
        <v>0.82399999999999995</v>
      </c>
      <c r="IU11" s="126">
        <v>0.84699999999999998</v>
      </c>
      <c r="IV11" s="126">
        <v>3.3000000000000002E-2</v>
      </c>
      <c r="IW11" s="126">
        <v>0.70099999999999996</v>
      </c>
      <c r="IX11" s="126">
        <v>0.78</v>
      </c>
      <c r="IY11" s="126">
        <v>0.67500000000000004</v>
      </c>
      <c r="IZ11" s="126">
        <v>0.48599999999999999</v>
      </c>
      <c r="JA11" s="126">
        <v>0.86099999999999999</v>
      </c>
      <c r="JB11" s="126">
        <v>0.60799999999999998</v>
      </c>
      <c r="JC11" s="126">
        <f>+AVERAGE(IQ11:JB11)</f>
        <v>0.72833333333333339</v>
      </c>
      <c r="JD11" s="126">
        <f>+GEOMEAN(IQ11:JB11)</f>
        <v>0.59586278945967641</v>
      </c>
      <c r="JE11" s="126">
        <v>0.81795295278867697</v>
      </c>
      <c r="JF11" s="126">
        <v>0.79604543777929182</v>
      </c>
      <c r="JG11" s="126">
        <f>+AVERAGE(IO11,JC11,JE11)</f>
        <v>0.76852876204067011</v>
      </c>
      <c r="JH11" s="126">
        <f>+GEOMEAN(IP11,JD11,JF11)</f>
        <v>0.69700662465276209</v>
      </c>
      <c r="JI11" s="123">
        <v>0.98099999999999998</v>
      </c>
      <c r="JJ11" s="123">
        <v>0.96299999999999997</v>
      </c>
      <c r="JK11" s="123">
        <v>0.98299999999999998</v>
      </c>
      <c r="JL11" s="123">
        <v>1</v>
      </c>
      <c r="JM11" s="131">
        <v>0.98599999999999999</v>
      </c>
      <c r="JN11" s="131">
        <v>0.99099999999999999</v>
      </c>
      <c r="JO11" s="131">
        <v>0.97299999999999998</v>
      </c>
      <c r="JP11" s="131">
        <v>1</v>
      </c>
      <c r="JQ11" s="131">
        <v>1</v>
      </c>
      <c r="JR11" s="131">
        <v>1</v>
      </c>
      <c r="JS11" s="131">
        <v>0.995</v>
      </c>
      <c r="JT11" s="131">
        <v>0.996</v>
      </c>
      <c r="JU11" s="131">
        <v>1</v>
      </c>
      <c r="JV11" s="131">
        <v>0.98899999999999999</v>
      </c>
      <c r="JW11" s="131">
        <v>0.98799999999999999</v>
      </c>
      <c r="JX11" s="131">
        <v>1</v>
      </c>
      <c r="JY11" s="131">
        <v>1</v>
      </c>
      <c r="JZ11" s="131">
        <v>1</v>
      </c>
      <c r="KA11" s="131">
        <v>1</v>
      </c>
      <c r="KB11" s="126">
        <f>+(JK10*JK11)+(JL10*JL11)+(JM10*JM11)+(JN10*JN11)+(JO10*JO11)+(JP10*JP11)+(JQ10*JQ11)+(JR10*JR11)+(JS10*JS11)+(JT10*JT11)+(JU10*JU11)+(JV10*JV11)+(JW10*JW11)+(JX10*JX11)+(JY10*JY11)+(JZ10*JZ11)+(KA10*KA11)</f>
        <v>0.99395</v>
      </c>
      <c r="KC11" s="126">
        <f>+(JK11^JK10)*(JL11^JL10)*(JM11^JM10)*(JN11^JN10)*(JO11^JO10)*(JP11^JP10)*(JQ11^JQ10)*(JR11^JR10)*(JS11^JS10)*(JT11^JT10)*(JU11^JU10)*(JV11^JV10)*(JW11^JW10)*(JX11^JX10)*(JY11^JY10)*(JZ11^JZ10)*(KA11^KA10)</f>
        <v>0.9939301292535786</v>
      </c>
      <c r="KD11" s="126">
        <f>+(JI10*JI11)+(JJ10*JJ11)+(KB10*KB11)</f>
        <v>0.97629902049233142</v>
      </c>
      <c r="KE11" s="126">
        <f>+(JI11^JI10)*(JJ11^JJ10)*(KB11^KB10)</f>
        <v>0.97621900967687503</v>
      </c>
      <c r="KF11" s="131">
        <v>0.378</v>
      </c>
      <c r="KG11" s="131">
        <v>0.16600000000000001</v>
      </c>
      <c r="KH11" s="131">
        <v>4.1799999999999997E-2</v>
      </c>
      <c r="KI11" s="131">
        <v>0.28399999999999997</v>
      </c>
      <c r="KJ11" s="131">
        <f>+AVERAGE(IB11,ID11,JG11,KD11,KF11:KI11)</f>
        <v>0.47884466432541062</v>
      </c>
      <c r="KK11" s="131">
        <f>+GEOMEAN(IC11,ID11,JH11,KE11,KF11:KI11)</f>
        <v>0.32064698741799613</v>
      </c>
      <c r="KL11" s="132">
        <v>0.08</v>
      </c>
      <c r="KM11" s="132">
        <v>0.14000000000000001</v>
      </c>
      <c r="KN11" s="132">
        <f>+AVERAGE(KL11:KM11)</f>
        <v>0.11000000000000001</v>
      </c>
      <c r="KO11" s="132">
        <f>+GEOMEAN(KL11:KM11)</f>
        <v>0.10583005244258363</v>
      </c>
      <c r="KP11" s="132">
        <f>+AVERAGE(HE11,KJ11,KN11)</f>
        <v>0.26540750059699175</v>
      </c>
      <c r="KQ11" s="132">
        <f>+GEOMEAN(HF11,KK11,KO11)</f>
        <v>0.16658795763070447</v>
      </c>
      <c r="KR11" s="132">
        <v>0.28499999999999998</v>
      </c>
      <c r="KS11" s="132">
        <v>0.71799999999999997</v>
      </c>
      <c r="KT11" s="132">
        <v>0.60099999999999998</v>
      </c>
      <c r="KU11" s="132">
        <v>0.80800000000000005</v>
      </c>
      <c r="KV11" s="132">
        <v>0.89500000000000002</v>
      </c>
      <c r="KW11" s="132">
        <v>0.67</v>
      </c>
      <c r="KX11" s="132">
        <v>0.92100000000000004</v>
      </c>
      <c r="KY11" s="132">
        <v>0.89200000000000002</v>
      </c>
      <c r="KZ11" s="132">
        <v>0.88100000000000001</v>
      </c>
      <c r="LA11" s="132">
        <v>0.78100000000000003</v>
      </c>
      <c r="LB11" s="132">
        <v>0.96199999999999997</v>
      </c>
      <c r="LC11" s="132">
        <v>0.745</v>
      </c>
      <c r="LD11" s="132">
        <v>0.84899999999999998</v>
      </c>
      <c r="LE11" s="132">
        <v>0.92300000000000004</v>
      </c>
      <c r="LF11" s="132">
        <v>0.63700000000000001</v>
      </c>
      <c r="LG11" s="132">
        <v>0.80200000000000005</v>
      </c>
      <c r="LH11" s="132">
        <v>0.99399999999999999</v>
      </c>
      <c r="LI11" s="132">
        <v>0.78500000000000003</v>
      </c>
      <c r="LJ11" s="132">
        <v>0.84</v>
      </c>
      <c r="LK11" s="132">
        <v>0.81399999999999995</v>
      </c>
      <c r="LL11" s="126">
        <f>+(KU10*KU11)+(KV10*KV11)+(KW10*KW11)+(KX10*KX11)+(KY10*KY11)+(KZ10*KZ11)+(LA10*LA11)+(LB10*LB11)+(LC10*LC11)+(LD10*LD11)+(LE10*LE11)+(LF10*LF11)+(LG10*LG11)+(LH10*LH11)+(LI10*LI11)+(LJ10*LJ11)+(LK10*LK11)</f>
        <v>0.79035599999999995</v>
      </c>
      <c r="LM11" s="126">
        <f>+(KU11^KU10)*(KV11^KV10)*(KW11^KW10)*(KX11^KX10)*(KY11^KY10)*(KZ11^KZ10)*(LA11^LA10)*(LB11^LB10)*(LC11^LC10)*(LD11^LD10)*(LE11^LE10)*(LF11^LF10)*(LG11^LG10)*(LH11^LH10)*(LI11^LI10)*(LJ11^LJ10)*(LK11^LK10)</f>
        <v>0.78332935379570956</v>
      </c>
      <c r="LN11" s="126">
        <f>+(KS10*KS11)+(KT10*KT11)+(LL10*LL11)</f>
        <v>0.6846743405077973</v>
      </c>
      <c r="LO11" s="126">
        <f>+(KS11^KS10)*(KT11^KT10)*(LM11^LL10)</f>
        <v>0.67887336942862286</v>
      </c>
      <c r="LP11" s="132">
        <v>0.28599999999999998</v>
      </c>
      <c r="LQ11" s="132">
        <v>0.218</v>
      </c>
      <c r="LR11" s="132">
        <v>0.32800000000000001</v>
      </c>
      <c r="LS11" s="132">
        <v>0.85099999999999998</v>
      </c>
      <c r="LT11" s="132">
        <v>0.36699999999999999</v>
      </c>
      <c r="LU11" s="132">
        <v>0.49099999999999999</v>
      </c>
      <c r="LV11" s="132">
        <v>0.32400000000000001</v>
      </c>
      <c r="LW11" s="132">
        <v>0.19</v>
      </c>
      <c r="LX11" s="132">
        <v>0.34300000000000003</v>
      </c>
      <c r="LY11" s="132">
        <v>0.45400000000000001</v>
      </c>
      <c r="LZ11" s="132">
        <v>0.34699999999999998</v>
      </c>
      <c r="MA11" s="132">
        <v>0.30499999999999999</v>
      </c>
      <c r="MB11" s="132">
        <v>0.87</v>
      </c>
      <c r="MC11" s="132">
        <v>0.29199999999999998</v>
      </c>
      <c r="MD11" s="132">
        <v>0.32900000000000001</v>
      </c>
      <c r="ME11" s="132">
        <v>0.61</v>
      </c>
      <c r="MF11" s="132">
        <v>0.19500000000000001</v>
      </c>
      <c r="MG11" s="132">
        <v>0.29799999999999999</v>
      </c>
      <c r="MH11" s="132">
        <v>0.31900000000000001</v>
      </c>
      <c r="MI11" s="126">
        <f>+(LR10*LR11)+(LS10*LS11)+(LT10*LT11)+(LU10*LU11)+(LV10*LV11)+(LW10*LW11)+(LX10*LX11)+(LY10*LY11)+(LZ10*LZ11)+(MA10*MA11)+(MB10*MB11)+(MC10*MC11)+(MD10*MD11)+(ME10*ME11)+(MF10*MF11)+(MG10*MG11)+(MH10*MH11)</f>
        <v>0.38010500000000008</v>
      </c>
      <c r="MJ11" s="126">
        <f>+(LR11^LR10)*(LS11^LS10)*(LT11^LT10)*(LU11^LU10)*(LV11^LV10)*(LW11^LW10)*(LX11^LX10)*(LY11^LY10)*(LZ11^LZ10)*(MA11^MA10)*(MB11^MB10)*(MC11^MC10)*(MD11^MD10)*(ME11^ME10)*(MF11^MF10)*(MG11^MG10)*(MH11^MH10)</f>
        <v>0.34632348799374113</v>
      </c>
      <c r="MK11" s="126">
        <f>+(LP10*LP11)+(LQ10*LQ11)+(MI10*MI11)</f>
        <v>0.27882745499849637</v>
      </c>
      <c r="ML11" s="126">
        <f>+(LP11^LP10)*(LQ11^LQ10)*(MJ11^MI10)</f>
        <v>0.26617707609417124</v>
      </c>
      <c r="MM11" s="132">
        <v>0.315</v>
      </c>
      <c r="MN11" s="132">
        <v>0.40100000000000002</v>
      </c>
      <c r="MO11" s="132">
        <v>0.496</v>
      </c>
      <c r="MP11" s="132">
        <v>0.63600000000000001</v>
      </c>
      <c r="MQ11" s="132">
        <v>0.41699999999999998</v>
      </c>
      <c r="MR11" s="132">
        <v>0.5</v>
      </c>
      <c r="MS11" s="132">
        <v>0.622</v>
      </c>
      <c r="MT11" s="132">
        <v>0.45200000000000001</v>
      </c>
      <c r="MU11" s="132">
        <v>0.57699999999999996</v>
      </c>
      <c r="MV11" s="132">
        <v>0.68300000000000005</v>
      </c>
      <c r="MW11" s="132">
        <v>0.52</v>
      </c>
      <c r="MX11" s="132">
        <v>0.55600000000000005</v>
      </c>
      <c r="MY11" s="132">
        <v>0.79200000000000004</v>
      </c>
      <c r="MZ11" s="132">
        <v>0.39</v>
      </c>
      <c r="NA11" s="132">
        <v>0.53300000000000003</v>
      </c>
      <c r="NB11" s="132">
        <v>0.64600000000000002</v>
      </c>
      <c r="NC11" s="132">
        <v>0.46</v>
      </c>
      <c r="ND11" s="132">
        <v>0.45800000000000002</v>
      </c>
      <c r="NE11" s="132">
        <v>0.59299999999999997</v>
      </c>
      <c r="NF11" s="126">
        <f>+(MO10*MO11)+(MP10*MP11)+(MQ10*MQ11)+(MR10*MR11)+(MS10*MS11)+(MT10*MT11)+(MU10*MU11)+(MV10*MV11)+(MW10*MW11)+(MX10*MX11)+(MY10*MY11)+(MZ10*MZ11)+(NA10*NA11)+(NB10*NB11)+(NC10*NC11)+(ND10*ND11)+(NE10*NE11)</f>
        <v>0.51063500000000006</v>
      </c>
      <c r="NG11" s="126">
        <f>+(MO11^MO10)*(MP11^MP10)*(MQ11^MQ10)*(MR11^MR10)*(MS11^MS10)*(MT11^MT10)*(MU11^MU10)*(MV11^MV10)*(MW11^MW10)*(MX11^MX10)*(MY11^MY10)*(MZ11^MZ10)*(NA11^NA10)*(NB11^NB10)*(NC11^NC10)*(ND11^ND10)*(NE11^NE10)</f>
        <v>0.50179347459947343</v>
      </c>
      <c r="NH11" s="126">
        <f>+(MM10*MM11)+(MN10*MN11)+(NF10*NF11)</f>
        <v>0.39779637796966966</v>
      </c>
      <c r="NI11" s="126">
        <f>+(MM11^MM10)*(MN11^MN10)*(NG11^NF10)</f>
        <v>0.38971054095213392</v>
      </c>
      <c r="NJ11" s="132">
        <v>9.9000000000000005E-2</v>
      </c>
      <c r="NK11" s="132">
        <v>7.4999999999999997E-2</v>
      </c>
      <c r="NL11" s="132">
        <v>6.9000000000000006E-2</v>
      </c>
      <c r="NM11" s="132">
        <v>0.38400000000000001</v>
      </c>
      <c r="NN11" s="132">
        <v>3.7999999999999999E-2</v>
      </c>
      <c r="NO11" s="132">
        <v>0.10299999999999999</v>
      </c>
      <c r="NP11" s="132">
        <v>0.10199999999999999</v>
      </c>
      <c r="NQ11" s="132">
        <v>4.9000000000000002E-2</v>
      </c>
      <c r="NR11" s="132">
        <v>0.183</v>
      </c>
      <c r="NS11" s="132">
        <v>0.215</v>
      </c>
      <c r="NT11" s="132">
        <v>0.11600000000000001</v>
      </c>
      <c r="NU11" s="132">
        <v>0.05</v>
      </c>
      <c r="NV11" s="132">
        <v>0.45300000000000001</v>
      </c>
      <c r="NW11" s="132">
        <v>6.7000000000000004E-2</v>
      </c>
      <c r="NX11" s="132">
        <v>6.2E-2</v>
      </c>
      <c r="NY11" s="132">
        <v>0.24199999999999999</v>
      </c>
      <c r="NZ11" s="132">
        <v>3.2000000000000001E-2</v>
      </c>
      <c r="OA11" s="132">
        <v>4.4999999999999998E-2</v>
      </c>
      <c r="OB11" s="132">
        <v>5.7000000000000002E-2</v>
      </c>
      <c r="OC11" s="126">
        <f>+(NL10*NL11)+(NM10*NM11)+(NN10*NN11)+(NO10*NO11)+(NP10*NP11)+(NQ10*NQ11)+(NR10*NR11)+(NS10*NS11)+(NT10*NT11)+(NU10*NU11)+(NV10*NV11)+(NW10*NW11)+(NX10*NX11)+(NY10*NY11)+(NZ10*NZ11)+(OA10*OA11)+(OB10*OB11)</f>
        <v>0.11319899999999999</v>
      </c>
      <c r="OD11" s="126">
        <f>+(NL11^NL10)*(NM11^NM10)*(NN11^NN10)*(NO11^NO10)*(NP11^NP10)*(NQ11^NQ10)*(NR11^NR10)*(NS11^NS10)*(NT11^NT10)*(NU11^NU10)*(NV11^NV10)*(NW11^NW10)*(NX11^NX10)*(NY11^NY10)*(NZ11^NZ10)*(OA11^OA10)*(OB11^OB10)</f>
        <v>7.8834182418245052E-2</v>
      </c>
      <c r="OE11" s="126">
        <f>+(NJ10*NJ11)+(NK10*NK11)+(OC10*OC11)</f>
        <v>9.2013246810155935E-2</v>
      </c>
      <c r="OF11" s="126">
        <f>+(NJ11^NJ10)*(NK11^NK10)*(OD11^OC10)</f>
        <v>8.3299444579206045E-2</v>
      </c>
      <c r="OG11" s="126">
        <f>+AVERAGE(LN11,MK11,NH11,OE11)</f>
        <v>0.36332785507152981</v>
      </c>
      <c r="OH11" s="126">
        <f>+GEOMEAN(LO11,ML11,NI11,OF11)</f>
        <v>0.27674891080620134</v>
      </c>
      <c r="OI11" s="132">
        <v>0.06</v>
      </c>
      <c r="OJ11" s="132">
        <v>7.8799999999999995E-2</v>
      </c>
      <c r="OK11" s="132">
        <v>0.8</v>
      </c>
      <c r="OL11" s="132">
        <v>0</v>
      </c>
      <c r="OM11" s="132">
        <v>0</v>
      </c>
      <c r="ON11" s="132">
        <v>0.5714285714285714</v>
      </c>
      <c r="OO11" s="132">
        <v>0.64710000000000001</v>
      </c>
      <c r="OP11" s="132">
        <v>0.62</v>
      </c>
      <c r="OQ11" s="126">
        <f>+(OL10*OL11)+(OM10*OM11)+(ON10*ON11)+(OO10*OO11)+(OP10*OP11)</f>
        <v>0.45530332939787488</v>
      </c>
      <c r="OR11" s="142">
        <f>+(ON11^ON10)*(OO11^OO10)*(OP11^OP10)</f>
        <v>0.71102940545462856</v>
      </c>
      <c r="OS11" s="126">
        <f>+AVERAGE(OI11:OK11,OQ11)</f>
        <v>0.34852583234946877</v>
      </c>
      <c r="OT11" s="126">
        <f>+GEOMEAN(OI11:OK11,OR11)</f>
        <v>0.22772659584894089</v>
      </c>
      <c r="OU11" s="132">
        <v>2E-3</v>
      </c>
      <c r="OV11" s="132">
        <v>0.158</v>
      </c>
      <c r="OW11" s="132">
        <v>9.2999999999999999E-2</v>
      </c>
      <c r="OX11" s="132">
        <f>+AVERAGE(OU11:OW11)</f>
        <v>8.433333333333333E-2</v>
      </c>
      <c r="OY11" s="132">
        <f>+GEOMEAN(OU11:OW11)</f>
        <v>3.0859579956444658E-2</v>
      </c>
      <c r="OZ11" s="132">
        <f>+AVERAGE(KR11,OG11,OS11,OX11)</f>
        <v>0.27029675518858298</v>
      </c>
      <c r="PA11" s="132">
        <f>+GEOMEAN(KR11,OH11,OT11,OY11)</f>
        <v>0.15343824985898444</v>
      </c>
      <c r="PB11" s="29"/>
      <c r="PC11" s="29"/>
    </row>
    <row r="12" spans="1:419" x14ac:dyDescent="0.2">
      <c r="GU12" s="16">
        <f>+AVERAGE(GP11:GT11)</f>
        <v>0.34010000000000001</v>
      </c>
      <c r="HC12" s="16">
        <f>+AVERAGE(GX11:HB11)</f>
        <v>6.6200000000000009E-3</v>
      </c>
      <c r="HE12" s="16"/>
      <c r="HF12" s="16"/>
      <c r="HZ12" s="17"/>
      <c r="IA12" s="17"/>
      <c r="IB12" s="17"/>
      <c r="IC12" s="17"/>
      <c r="KD12" s="18">
        <f>+AVERAGE(JI11,JJ11,KB11)</f>
        <v>0.97931666666666661</v>
      </c>
      <c r="KE12" s="18"/>
      <c r="KO12" s="1" t="s">
        <v>297</v>
      </c>
      <c r="KP12" s="30">
        <f>+(0.3*HE11)+(KJ11*0.5)+(KN11*0.2)</f>
        <v>0.32363568340237475</v>
      </c>
      <c r="LN12" s="18">
        <f>+AVERAGE(KS11,KT11,LL11)</f>
        <v>0.70311866666666667</v>
      </c>
      <c r="LO12" s="18"/>
      <c r="MK12" s="18">
        <f>+AVERAGE(LP11,LQ11,MI11)</f>
        <v>0.2947016666666667</v>
      </c>
      <c r="ML12" s="18"/>
      <c r="NH12" s="18">
        <f>+AVERAGE(MM11,MN11,NF11)</f>
        <v>0.40887833333333329</v>
      </c>
      <c r="NI12" s="18"/>
      <c r="OE12" s="18">
        <f>+AVERAGE(NJ11,NK11,OC11)</f>
        <v>9.5732999999999999E-2</v>
      </c>
      <c r="OF12" s="18"/>
      <c r="OG12" s="18"/>
      <c r="OH12" s="18"/>
      <c r="OQ12" s="16">
        <f>+AVERAGE(OL11:OP11)</f>
        <v>0.36770571428571425</v>
      </c>
      <c r="OR12" s="16"/>
      <c r="OS12" s="16"/>
      <c r="OT12" s="16"/>
    </row>
    <row r="15" spans="1:419" hidden="1" x14ac:dyDescent="0.2"/>
    <row r="16" spans="1:419" ht="15" hidden="1" x14ac:dyDescent="0.25">
      <c r="A16" s="1" t="s">
        <v>305</v>
      </c>
      <c r="P16"/>
      <c r="Q16"/>
      <c r="R16"/>
      <c r="S16"/>
    </row>
    <row r="17" spans="1:19" ht="15" hidden="1" x14ac:dyDescent="0.25">
      <c r="J17" s="305" t="s">
        <v>263</v>
      </c>
      <c r="K17" s="305"/>
      <c r="L17" s="301" t="s">
        <v>263</v>
      </c>
      <c r="M17" s="302"/>
      <c r="N17" s="302" t="s">
        <v>263</v>
      </c>
      <c r="O17" s="306"/>
      <c r="P17"/>
      <c r="Q17"/>
      <c r="R17"/>
      <c r="S17"/>
    </row>
    <row r="18" spans="1:19" ht="38.25" hidden="1" customHeight="1" x14ac:dyDescent="0.25">
      <c r="B18" s="276" t="s">
        <v>251</v>
      </c>
      <c r="C18" s="276"/>
      <c r="D18" s="258" t="s">
        <v>250</v>
      </c>
      <c r="E18" s="258"/>
      <c r="F18" s="242" t="s">
        <v>249</v>
      </c>
      <c r="G18" s="242"/>
      <c r="H18" s="244" t="s">
        <v>253</v>
      </c>
      <c r="I18" s="245"/>
      <c r="J18" s="278" t="s">
        <v>262</v>
      </c>
      <c r="K18" s="278"/>
      <c r="L18" s="297" t="s">
        <v>300</v>
      </c>
      <c r="M18" s="298"/>
      <c r="N18" s="307" t="s">
        <v>299</v>
      </c>
      <c r="O18" s="308"/>
      <c r="P18"/>
      <c r="Q18"/>
      <c r="R18"/>
      <c r="S18"/>
    </row>
    <row r="19" spans="1:19" ht="25.5" hidden="1" x14ac:dyDescent="0.25">
      <c r="A19" s="36" t="s">
        <v>0</v>
      </c>
      <c r="B19" s="101" t="s">
        <v>260</v>
      </c>
      <c r="C19" s="101" t="s">
        <v>261</v>
      </c>
      <c r="D19" s="98" t="s">
        <v>260</v>
      </c>
      <c r="E19" s="98" t="s">
        <v>261</v>
      </c>
      <c r="F19" s="100" t="s">
        <v>260</v>
      </c>
      <c r="G19" s="100" t="s">
        <v>261</v>
      </c>
      <c r="H19" s="102" t="s">
        <v>260</v>
      </c>
      <c r="I19" s="103" t="s">
        <v>261</v>
      </c>
      <c r="J19" s="97" t="s">
        <v>260</v>
      </c>
      <c r="K19" s="97" t="s">
        <v>261</v>
      </c>
      <c r="L19" s="95" t="s">
        <v>260</v>
      </c>
      <c r="M19" s="96" t="s">
        <v>261</v>
      </c>
      <c r="N19" s="104" t="s">
        <v>260</v>
      </c>
      <c r="O19" s="105" t="s">
        <v>261</v>
      </c>
      <c r="P19"/>
      <c r="Q19"/>
      <c r="R19"/>
      <c r="S19"/>
    </row>
    <row r="20" spans="1:19" ht="15" hidden="1" x14ac:dyDescent="0.25">
      <c r="A20" s="48" t="s">
        <v>74</v>
      </c>
      <c r="B20" s="54">
        <v>0.4809252982920893</v>
      </c>
      <c r="C20" s="54">
        <v>0.24987255836199651</v>
      </c>
      <c r="D20" s="54">
        <v>0.33466462192983154</v>
      </c>
      <c r="E20" s="54">
        <v>0.21666240957570737</v>
      </c>
      <c r="F20" s="54">
        <v>0.26540750059699175</v>
      </c>
      <c r="G20" s="54">
        <v>0.16658795763070447</v>
      </c>
      <c r="H20" s="54">
        <v>0.27029675518858298</v>
      </c>
      <c r="I20" s="56">
        <v>0.15343824985898444</v>
      </c>
      <c r="J20" s="55">
        <f>+AVERAGE(B20,D20,F20,H20)</f>
        <v>0.33782354400187387</v>
      </c>
      <c r="K20" s="55">
        <f>+GEOMEAN(C20,E20,G20,I20)</f>
        <v>0.19287229270741033</v>
      </c>
      <c r="L20" s="81">
        <f>+(B20*0.3)+(D20*0.3)+(F20*0.3)+(H20*0.1)</f>
        <v>0.35132890176453208</v>
      </c>
      <c r="M20" s="55">
        <f>+(C20^0.3)*(E20^0.3)*(G20^0.3)*(I20^0.1)</f>
        <v>0.20190035586080801</v>
      </c>
      <c r="N20" s="55">
        <f>+(B20*0.35)+(D20*0.35)+(F20*0.15)+(H20*0.15)</f>
        <v>0.36581211044550849</v>
      </c>
      <c r="O20" s="75">
        <f>+(C20^0.35)*(E20^0.35)*(G20^0.15)*(I20^0.15)</f>
        <v>0.20790375450602477</v>
      </c>
      <c r="P20"/>
      <c r="Q20"/>
      <c r="R20"/>
      <c r="S20"/>
    </row>
    <row r="21" spans="1:19" ht="15" hidden="1" x14ac:dyDescent="0.25">
      <c r="K21" s="1">
        <f>+GEOMEAN(B20,D20,F20,H20)</f>
        <v>0.32780106709737933</v>
      </c>
      <c r="M21" s="1">
        <f>+(B20^0.3)*(D20^0.3)*(F20^0.2)*(H20^0.2)</f>
        <v>0.34131630322503886</v>
      </c>
      <c r="P21"/>
      <c r="Q21"/>
      <c r="R21"/>
      <c r="S21"/>
    </row>
    <row r="22" spans="1:19" ht="15" hidden="1" x14ac:dyDescent="0.25">
      <c r="P22"/>
      <c r="Q22"/>
      <c r="R22"/>
      <c r="S22"/>
    </row>
    <row r="23" spans="1:19" ht="15.75" hidden="1" thickBot="1" x14ac:dyDescent="0.3">
      <c r="A23" s="1" t="s">
        <v>306</v>
      </c>
      <c r="P23"/>
      <c r="Q23"/>
      <c r="R23"/>
      <c r="S23"/>
    </row>
    <row r="24" spans="1:19" ht="15" hidden="1" x14ac:dyDescent="0.25">
      <c r="J24" s="299" t="s">
        <v>263</v>
      </c>
      <c r="K24" s="300"/>
      <c r="L24" s="301" t="s">
        <v>263</v>
      </c>
      <c r="M24" s="302"/>
      <c r="N24"/>
      <c r="O24"/>
      <c r="P24"/>
      <c r="Q24"/>
      <c r="R24"/>
      <c r="S24"/>
    </row>
    <row r="25" spans="1:19" ht="30" hidden="1" customHeight="1" x14ac:dyDescent="0.25">
      <c r="B25" s="276" t="s">
        <v>251</v>
      </c>
      <c r="C25" s="276"/>
      <c r="D25" s="258" t="s">
        <v>250</v>
      </c>
      <c r="E25" s="258"/>
      <c r="F25" s="242" t="s">
        <v>249</v>
      </c>
      <c r="G25" s="242"/>
      <c r="H25" s="244" t="s">
        <v>253</v>
      </c>
      <c r="I25" s="245"/>
      <c r="J25" s="303" t="s">
        <v>262</v>
      </c>
      <c r="K25" s="304"/>
      <c r="L25" s="297" t="s">
        <v>300</v>
      </c>
      <c r="M25" s="298"/>
      <c r="N25"/>
      <c r="O25"/>
      <c r="P25"/>
      <c r="Q25"/>
      <c r="R25"/>
      <c r="S25"/>
    </row>
    <row r="26" spans="1:19" ht="25.5" hidden="1" x14ac:dyDescent="0.25">
      <c r="A26" s="36" t="s">
        <v>0</v>
      </c>
      <c r="B26" s="101" t="s">
        <v>260</v>
      </c>
      <c r="C26" s="101" t="s">
        <v>261</v>
      </c>
      <c r="D26" s="98" t="s">
        <v>260</v>
      </c>
      <c r="E26" s="98" t="s">
        <v>261</v>
      </c>
      <c r="F26" s="100" t="s">
        <v>260</v>
      </c>
      <c r="G26" s="100" t="s">
        <v>261</v>
      </c>
      <c r="H26" s="102" t="s">
        <v>260</v>
      </c>
      <c r="I26" s="103" t="s">
        <v>261</v>
      </c>
      <c r="J26" s="106" t="s">
        <v>260</v>
      </c>
      <c r="K26" s="107" t="s">
        <v>261</v>
      </c>
      <c r="L26" s="95" t="s">
        <v>260</v>
      </c>
      <c r="M26" s="96" t="s">
        <v>261</v>
      </c>
      <c r="N26"/>
      <c r="O26"/>
      <c r="P26"/>
      <c r="Q26"/>
      <c r="R26"/>
      <c r="S26"/>
    </row>
    <row r="27" spans="1:19" ht="15" hidden="1" x14ac:dyDescent="0.25">
      <c r="A27" s="48" t="s">
        <v>74</v>
      </c>
      <c r="B27" s="54">
        <v>0.4809252982920893</v>
      </c>
      <c r="C27" s="54">
        <v>0.24987255836199651</v>
      </c>
      <c r="D27" s="54">
        <v>0.33466462192983154</v>
      </c>
      <c r="E27" s="54">
        <v>0.21666240957570737</v>
      </c>
      <c r="F27" s="54">
        <v>0.28675121696983363</v>
      </c>
      <c r="G27" s="54">
        <v>0.23962072010040555</v>
      </c>
      <c r="H27" s="54">
        <v>0.29525555840011919</v>
      </c>
      <c r="I27" s="56">
        <v>0.26150157516283035</v>
      </c>
      <c r="J27" s="210">
        <f>+AVERAGE(B27,D27,F27,H27)</f>
        <v>0.34939917389796837</v>
      </c>
      <c r="K27" s="86">
        <f>+GEOMEAN(C27,E27,G27,I27)</f>
        <v>0.24133771838891438</v>
      </c>
      <c r="L27" s="81">
        <f>+(B27*0.3)+(D27*0.3)+(F27*0.3)+(H27*0.1)</f>
        <v>0.36022789699753827</v>
      </c>
      <c r="M27" s="55">
        <f>+(C27^0.3)*(E27^0.3)*(G27^0.3)*(I27^0.1)</f>
        <v>0.23749549787898172</v>
      </c>
      <c r="N27"/>
      <c r="O27"/>
      <c r="P27"/>
      <c r="Q27"/>
      <c r="R27"/>
      <c r="S27"/>
    </row>
    <row r="28" spans="1:19" ht="15.75" hidden="1" thickBot="1" x14ac:dyDescent="0.3">
      <c r="J28" s="163"/>
      <c r="K28" s="211">
        <f>+GEOMEAN(B27,D27,F27,H27)</f>
        <v>0.34166279938107591</v>
      </c>
      <c r="M28" s="1">
        <f>+(B27^0.3)*(D27^0.3)*(F27^0.2)*(H27^0.2)</f>
        <v>0.3528148844221089</v>
      </c>
      <c r="N28"/>
      <c r="O28"/>
      <c r="P28"/>
      <c r="Q28"/>
      <c r="R28"/>
      <c r="S28"/>
    </row>
    <row r="29" spans="1:19" hidden="1" x14ac:dyDescent="0.2"/>
    <row r="30" spans="1:19" hidden="1" x14ac:dyDescent="0.2"/>
    <row r="31" spans="1:19" ht="12.75" hidden="1" customHeight="1" x14ac:dyDescent="0.2">
      <c r="B31" s="238" t="s">
        <v>251</v>
      </c>
      <c r="C31" s="239"/>
      <c r="D31" s="239"/>
      <c r="E31" s="239"/>
      <c r="F31" s="239"/>
      <c r="G31" s="240"/>
    </row>
    <row r="32" spans="1:19" ht="51" hidden="1" x14ac:dyDescent="0.2">
      <c r="A32" s="36" t="s">
        <v>0</v>
      </c>
      <c r="B32" s="111" t="s">
        <v>222</v>
      </c>
      <c r="C32" s="111" t="s">
        <v>160</v>
      </c>
      <c r="D32" s="111" t="s">
        <v>163</v>
      </c>
      <c r="E32" s="111" t="s">
        <v>167</v>
      </c>
      <c r="F32" s="111" t="s">
        <v>168</v>
      </c>
      <c r="G32" s="111" t="s">
        <v>238</v>
      </c>
    </row>
    <row r="33" spans="1:13" hidden="1" x14ac:dyDescent="0.2">
      <c r="A33" s="48" t="s">
        <v>74</v>
      </c>
      <c r="B33" s="54">
        <v>0.29459999999999997</v>
      </c>
      <c r="C33" s="54">
        <v>1.7600000000000001E-2</v>
      </c>
      <c r="D33" s="54">
        <v>0.96</v>
      </c>
      <c r="E33" s="54">
        <v>0.75649999999999995</v>
      </c>
      <c r="F33" s="54">
        <v>0.26783512308586932</v>
      </c>
      <c r="G33" s="54">
        <v>0.58901666666666663</v>
      </c>
    </row>
    <row r="34" spans="1:13" hidden="1" x14ac:dyDescent="0.2"/>
    <row r="35" spans="1:13" hidden="1" x14ac:dyDescent="0.2"/>
    <row r="36" spans="1:13" hidden="1" x14ac:dyDescent="0.2"/>
    <row r="37" spans="1:13" hidden="1" x14ac:dyDescent="0.2"/>
    <row r="38" spans="1:13" ht="12.75" hidden="1" customHeight="1" x14ac:dyDescent="0.2">
      <c r="B38" s="241" t="s">
        <v>250</v>
      </c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</row>
    <row r="39" spans="1:13" ht="64.5" hidden="1" customHeight="1" x14ac:dyDescent="0.2">
      <c r="A39" s="36" t="s">
        <v>0</v>
      </c>
      <c r="B39" s="35" t="s">
        <v>177</v>
      </c>
      <c r="C39" s="35" t="s">
        <v>239</v>
      </c>
      <c r="D39" s="35" t="s">
        <v>240</v>
      </c>
      <c r="E39" s="35" t="s">
        <v>272</v>
      </c>
      <c r="F39" s="35" t="s">
        <v>273</v>
      </c>
      <c r="G39" s="35" t="s">
        <v>241</v>
      </c>
      <c r="H39" s="35" t="s">
        <v>242</v>
      </c>
      <c r="I39" s="35" t="s">
        <v>187</v>
      </c>
      <c r="J39" s="35" t="s">
        <v>189</v>
      </c>
      <c r="K39" s="35" t="s">
        <v>192</v>
      </c>
      <c r="L39" s="35" t="s">
        <v>197</v>
      </c>
      <c r="M39" s="35" t="s">
        <v>199</v>
      </c>
    </row>
    <row r="40" spans="1:13" hidden="1" x14ac:dyDescent="0.2">
      <c r="A40" s="48" t="s">
        <v>74</v>
      </c>
      <c r="B40" s="92">
        <v>0.46280000000000004</v>
      </c>
      <c r="C40" s="92">
        <v>0.33389999999999997</v>
      </c>
      <c r="D40" s="92">
        <v>0.48924444040163112</v>
      </c>
      <c r="E40" s="92">
        <v>2.4199999999999999E-2</v>
      </c>
      <c r="F40" s="92">
        <v>0.1744</v>
      </c>
      <c r="G40" s="92">
        <v>0.38100000000000001</v>
      </c>
      <c r="H40" s="92">
        <v>0.4054023936446039</v>
      </c>
      <c r="I40" s="92">
        <v>0.67759999999999998</v>
      </c>
      <c r="J40" s="92">
        <v>4.07E-2</v>
      </c>
      <c r="K40" s="92">
        <v>0.17802575766527648</v>
      </c>
      <c r="L40" s="151">
        <v>0.42970287144646691</v>
      </c>
      <c r="M40" s="151">
        <v>0.41899999999999998</v>
      </c>
    </row>
    <row r="41" spans="1:13" hidden="1" x14ac:dyDescent="0.2"/>
    <row r="42" spans="1:13" hidden="1" x14ac:dyDescent="0.2"/>
    <row r="43" spans="1:13" ht="13.5" hidden="1" thickBot="1" x14ac:dyDescent="0.25"/>
    <row r="44" spans="1:13" hidden="1" x14ac:dyDescent="0.2">
      <c r="B44" s="242" t="s">
        <v>249</v>
      </c>
      <c r="C44" s="242"/>
      <c r="D44" s="243"/>
      <c r="E44" s="295" t="s">
        <v>301</v>
      </c>
      <c r="F44" s="296"/>
      <c r="G44" s="297" t="s">
        <v>302</v>
      </c>
      <c r="H44" s="298"/>
    </row>
    <row r="45" spans="1:13" ht="38.25" hidden="1" x14ac:dyDescent="0.2">
      <c r="A45" s="36"/>
      <c r="B45" s="94" t="s">
        <v>202</v>
      </c>
      <c r="C45" s="94" t="s">
        <v>248</v>
      </c>
      <c r="D45" s="99" t="s">
        <v>212</v>
      </c>
      <c r="E45" s="155" t="s">
        <v>260</v>
      </c>
      <c r="F45" s="156" t="s">
        <v>261</v>
      </c>
      <c r="G45" s="153" t="s">
        <v>260</v>
      </c>
      <c r="H45" s="100" t="s">
        <v>261</v>
      </c>
    </row>
    <row r="46" spans="1:13" ht="13.5" hidden="1" thickBot="1" x14ac:dyDescent="0.25">
      <c r="A46" s="48" t="s">
        <v>74</v>
      </c>
      <c r="B46" s="92">
        <v>0.20737783746556473</v>
      </c>
      <c r="C46" s="92">
        <v>0.47884466432541062</v>
      </c>
      <c r="D46" s="159">
        <v>0.11000000000000001</v>
      </c>
      <c r="E46" s="157">
        <f>+(B46*0.3)+(C46*0.4)+(D46*0.3)</f>
        <v>0.28675121696983363</v>
      </c>
      <c r="F46" s="158">
        <f>+(B46^0.3)*(C46^0.4)*(D46^0.3)</f>
        <v>0.23962072010040555</v>
      </c>
      <c r="G46" s="154">
        <f>+(B46*0.3)+(C46*0.45)+(D46*0.25)</f>
        <v>0.30519345018610422</v>
      </c>
      <c r="H46" s="92">
        <f>+(D46^0.3)*(E46^0.45)*(F46^0.25)</f>
        <v>0.20567251994124072</v>
      </c>
    </row>
    <row r="47" spans="1:13" hidden="1" x14ac:dyDescent="0.2"/>
    <row r="48" spans="1:13" hidden="1" x14ac:dyDescent="0.2"/>
    <row r="49" spans="1:26" hidden="1" x14ac:dyDescent="0.2"/>
    <row r="50" spans="1:26" ht="13.5" hidden="1" thickBot="1" x14ac:dyDescent="0.25"/>
    <row r="51" spans="1:26" ht="28.5" hidden="1" customHeight="1" x14ac:dyDescent="0.2">
      <c r="B51" s="244" t="s">
        <v>253</v>
      </c>
      <c r="C51" s="244"/>
      <c r="D51" s="244"/>
      <c r="E51" s="245"/>
      <c r="F51" s="295" t="s">
        <v>304</v>
      </c>
      <c r="G51" s="296"/>
      <c r="H51" s="297" t="s">
        <v>303</v>
      </c>
      <c r="I51" s="298"/>
    </row>
    <row r="52" spans="1:26" ht="48" hidden="1" customHeight="1" x14ac:dyDescent="0.2">
      <c r="A52" s="36"/>
      <c r="B52" s="93" t="s">
        <v>286</v>
      </c>
      <c r="C52" s="93" t="s">
        <v>287</v>
      </c>
      <c r="D52" s="93" t="s">
        <v>252</v>
      </c>
      <c r="E52" s="152" t="s">
        <v>290</v>
      </c>
      <c r="F52" s="161" t="s">
        <v>260</v>
      </c>
      <c r="G52" s="162" t="s">
        <v>261</v>
      </c>
      <c r="H52" s="160" t="s">
        <v>260</v>
      </c>
      <c r="I52" s="93" t="s">
        <v>261</v>
      </c>
    </row>
    <row r="53" spans="1:26" ht="13.5" hidden="1" thickBot="1" x14ac:dyDescent="0.25">
      <c r="A53" s="48" t="s">
        <v>74</v>
      </c>
      <c r="B53" s="170">
        <v>0.28499999999999998</v>
      </c>
      <c r="C53" s="170">
        <v>0.36332785507152981</v>
      </c>
      <c r="D53" s="170">
        <v>0.34852583234946877</v>
      </c>
      <c r="E53" s="171">
        <v>8.433333333333333E-2</v>
      </c>
      <c r="F53" s="157">
        <f>+(B53*0.1)+(C53*0.4)+(D53*0.3)+(E53*0.2)</f>
        <v>0.29525555840011919</v>
      </c>
      <c r="G53" s="158">
        <f>+(B53^0.1)*(C53^0.4)*(D53^0.3)*(E53^0.2)</f>
        <v>0.26150157516283035</v>
      </c>
      <c r="H53" s="154">
        <f>+(B53*0.2)+(C53*0.4)+(D53*0.2)+(E53*0.2)</f>
        <v>0.28890297516517233</v>
      </c>
      <c r="I53" s="92">
        <f>+(B53^0.2)*(C53^0.4)*(D53^0.2)*(E53^0.2)</f>
        <v>0.25629214619812318</v>
      </c>
    </row>
    <row r="54" spans="1:26" hidden="1" x14ac:dyDescent="0.2">
      <c r="B54" s="174"/>
      <c r="C54" s="174"/>
      <c r="D54" s="174"/>
      <c r="E54" s="174"/>
    </row>
    <row r="55" spans="1:26" x14ac:dyDescent="0.2">
      <c r="A55" s="1" t="s">
        <v>308</v>
      </c>
      <c r="B55" s="174"/>
      <c r="C55" s="174"/>
      <c r="D55" s="174"/>
      <c r="E55" s="174"/>
    </row>
    <row r="56" spans="1:26" x14ac:dyDescent="0.2">
      <c r="B56" s="174"/>
      <c r="C56" s="174"/>
      <c r="D56" s="174"/>
      <c r="E56" s="174"/>
    </row>
    <row r="57" spans="1:26" x14ac:dyDescent="0.2">
      <c r="B57" s="174"/>
      <c r="C57" s="174"/>
      <c r="D57" s="174"/>
      <c r="E57" s="174"/>
    </row>
    <row r="58" spans="1:26" x14ac:dyDescent="0.2">
      <c r="B58" s="238" t="s">
        <v>251</v>
      </c>
      <c r="C58" s="239"/>
      <c r="D58" s="239"/>
      <c r="E58" s="239"/>
      <c r="F58" s="239"/>
      <c r="G58" s="240"/>
      <c r="H58" s="241" t="s">
        <v>250</v>
      </c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2" t="s">
        <v>249</v>
      </c>
      <c r="U58" s="242"/>
      <c r="V58" s="243"/>
      <c r="W58" s="244" t="s">
        <v>253</v>
      </c>
      <c r="X58" s="244"/>
      <c r="Y58" s="244"/>
      <c r="Z58" s="245"/>
    </row>
    <row r="59" spans="1:26" ht="76.5" x14ac:dyDescent="0.2">
      <c r="A59" s="36"/>
      <c r="B59" s="147" t="s">
        <v>222</v>
      </c>
      <c r="C59" s="147" t="s">
        <v>160</v>
      </c>
      <c r="D59" s="147" t="s">
        <v>163</v>
      </c>
      <c r="E59" s="147" t="s">
        <v>167</v>
      </c>
      <c r="F59" s="147" t="s">
        <v>168</v>
      </c>
      <c r="G59" s="147" t="s">
        <v>238</v>
      </c>
      <c r="H59" s="35" t="s">
        <v>177</v>
      </c>
      <c r="I59" s="35" t="s">
        <v>239</v>
      </c>
      <c r="J59" s="35" t="s">
        <v>240</v>
      </c>
      <c r="K59" s="35" t="s">
        <v>272</v>
      </c>
      <c r="L59" s="35" t="s">
        <v>273</v>
      </c>
      <c r="M59" s="35" t="s">
        <v>241</v>
      </c>
      <c r="N59" s="35" t="s">
        <v>242</v>
      </c>
      <c r="O59" s="35" t="s">
        <v>187</v>
      </c>
      <c r="P59" s="35" t="s">
        <v>189</v>
      </c>
      <c r="Q59" s="35" t="s">
        <v>192</v>
      </c>
      <c r="R59" s="35" t="s">
        <v>197</v>
      </c>
      <c r="S59" s="35" t="s">
        <v>199</v>
      </c>
      <c r="T59" s="94" t="s">
        <v>202</v>
      </c>
      <c r="U59" s="94" t="s">
        <v>248</v>
      </c>
      <c r="V59" s="149" t="s">
        <v>212</v>
      </c>
      <c r="W59" s="175" t="s">
        <v>286</v>
      </c>
      <c r="X59" s="175" t="s">
        <v>287</v>
      </c>
      <c r="Y59" s="175" t="s">
        <v>252</v>
      </c>
      <c r="Z59" s="176" t="s">
        <v>290</v>
      </c>
    </row>
    <row r="60" spans="1:26" x14ac:dyDescent="0.2">
      <c r="A60" s="48" t="s">
        <v>74</v>
      </c>
      <c r="B60" s="172">
        <v>29.459999999999997</v>
      </c>
      <c r="C60" s="172">
        <v>1.76</v>
      </c>
      <c r="D60" s="172">
        <v>96</v>
      </c>
      <c r="E60" s="172">
        <v>75.649999999999991</v>
      </c>
      <c r="F60" s="172">
        <v>26.783512308586932</v>
      </c>
      <c r="G60" s="172">
        <f>0.589016666666667*100</f>
        <v>58.901666666666699</v>
      </c>
      <c r="H60" s="177">
        <v>46.28</v>
      </c>
      <c r="I60" s="177">
        <v>33.39</v>
      </c>
      <c r="J60" s="177">
        <v>48.92444404016311</v>
      </c>
      <c r="K60" s="177">
        <v>2.42</v>
      </c>
      <c r="L60" s="177">
        <v>17.440000000000001</v>
      </c>
      <c r="M60" s="177">
        <v>38.1</v>
      </c>
      <c r="N60" s="177">
        <v>40.54023936446039</v>
      </c>
      <c r="O60" s="177">
        <v>67.759999999999991</v>
      </c>
      <c r="P60" s="177">
        <v>4.07</v>
      </c>
      <c r="Q60" s="177">
        <v>17.802575766527649</v>
      </c>
      <c r="R60" s="178">
        <f>0.429702871446467*100</f>
        <v>42.970287144646704</v>
      </c>
      <c r="S60" s="178">
        <v>41.9</v>
      </c>
      <c r="T60" s="177">
        <v>20.737783746556474</v>
      </c>
      <c r="U60" s="177">
        <v>47.88446643254106</v>
      </c>
      <c r="V60" s="179">
        <v>11.000000000000002</v>
      </c>
      <c r="W60" s="172">
        <v>28.499999999999996</v>
      </c>
      <c r="X60" s="172">
        <v>36.332785507152984</v>
      </c>
      <c r="Y60" s="172">
        <v>34.852583234946877</v>
      </c>
      <c r="Z60" s="180">
        <v>8.4333333333333336</v>
      </c>
    </row>
    <row r="61" spans="1:26" ht="15" x14ac:dyDescent="0.25">
      <c r="G61"/>
      <c r="H61"/>
      <c r="I61"/>
      <c r="J61"/>
      <c r="K61"/>
    </row>
    <row r="62" spans="1:26" ht="61.5" customHeight="1" x14ac:dyDescent="0.25">
      <c r="B62" s="165" t="s">
        <v>251</v>
      </c>
      <c r="C62" s="166" t="s">
        <v>250</v>
      </c>
      <c r="D62" s="167" t="s">
        <v>249</v>
      </c>
      <c r="E62" s="168" t="s">
        <v>253</v>
      </c>
      <c r="F62" s="169" t="s">
        <v>307</v>
      </c>
      <c r="G62"/>
      <c r="H62"/>
      <c r="I62"/>
      <c r="J62"/>
      <c r="K62"/>
    </row>
    <row r="63" spans="1:26" ht="15.75" thickBot="1" x14ac:dyDescent="0.3">
      <c r="A63" s="48" t="s">
        <v>74</v>
      </c>
      <c r="B63" s="172">
        <f>0.480925298292089*100</f>
        <v>48.0925298292089</v>
      </c>
      <c r="C63" s="172">
        <f>0.334664621929832*100</f>
        <v>33.466462192983201</v>
      </c>
      <c r="D63" s="172">
        <v>28.675121696983364</v>
      </c>
      <c r="E63" s="172">
        <v>29.525555840011918</v>
      </c>
      <c r="F63" s="173">
        <f>0.3494*100</f>
        <v>34.94</v>
      </c>
      <c r="G63"/>
      <c r="H63"/>
      <c r="I63"/>
      <c r="J63"/>
      <c r="K63"/>
    </row>
    <row r="64" spans="1:26" ht="15" x14ac:dyDescent="0.25">
      <c r="G64"/>
      <c r="H64"/>
      <c r="I64"/>
      <c r="J64"/>
      <c r="K64"/>
    </row>
    <row r="65" spans="7:11" ht="15" x14ac:dyDescent="0.25">
      <c r="G65"/>
      <c r="H65"/>
      <c r="I65"/>
      <c r="J65"/>
      <c r="K65"/>
    </row>
    <row r="109" spans="1:6" ht="31.5" x14ac:dyDescent="0.2">
      <c r="A109" s="222" t="s">
        <v>313</v>
      </c>
      <c r="B109" s="205" t="s">
        <v>309</v>
      </c>
      <c r="C109" s="205" t="s">
        <v>310</v>
      </c>
      <c r="D109" s="205" t="s">
        <v>315</v>
      </c>
      <c r="E109" s="205" t="s">
        <v>312</v>
      </c>
      <c r="F109" s="205" t="s">
        <v>311</v>
      </c>
    </row>
    <row r="110" spans="1:6" ht="31.5" x14ac:dyDescent="0.2">
      <c r="A110" s="222"/>
      <c r="B110" s="235" t="s">
        <v>251</v>
      </c>
      <c r="C110" s="196" t="s">
        <v>222</v>
      </c>
      <c r="D110" s="199">
        <v>2</v>
      </c>
      <c r="E110" s="199">
        <v>16.7</v>
      </c>
      <c r="F110" s="232">
        <v>25</v>
      </c>
    </row>
    <row r="111" spans="1:6" ht="21" x14ac:dyDescent="0.2">
      <c r="A111" s="222"/>
      <c r="B111" s="235"/>
      <c r="C111" s="196" t="s">
        <v>160</v>
      </c>
      <c r="D111" s="199">
        <v>1</v>
      </c>
      <c r="E111" s="199">
        <v>16.7</v>
      </c>
      <c r="F111" s="233"/>
    </row>
    <row r="112" spans="1:6" ht="31.5" x14ac:dyDescent="0.2">
      <c r="A112" s="222"/>
      <c r="B112" s="235"/>
      <c r="C112" s="196" t="s">
        <v>163</v>
      </c>
      <c r="D112" s="199">
        <v>3</v>
      </c>
      <c r="E112" s="199">
        <v>16.7</v>
      </c>
      <c r="F112" s="233"/>
    </row>
    <row r="113" spans="1:13" ht="21" x14ac:dyDescent="0.2">
      <c r="A113" s="222"/>
      <c r="B113" s="235"/>
      <c r="C113" s="196" t="s">
        <v>167</v>
      </c>
      <c r="D113" s="199">
        <v>3</v>
      </c>
      <c r="E113" s="199">
        <v>16.7</v>
      </c>
      <c r="F113" s="233"/>
    </row>
    <row r="114" spans="1:13" ht="21" x14ac:dyDescent="0.2">
      <c r="A114" s="222"/>
      <c r="B114" s="235"/>
      <c r="C114" s="196" t="s">
        <v>168</v>
      </c>
      <c r="D114" s="199">
        <v>2</v>
      </c>
      <c r="E114" s="199">
        <v>16.7</v>
      </c>
      <c r="F114" s="233"/>
    </row>
    <row r="115" spans="1:13" ht="21" x14ac:dyDescent="0.2">
      <c r="A115" s="222"/>
      <c r="B115" s="235"/>
      <c r="C115" s="196" t="s">
        <v>238</v>
      </c>
      <c r="D115" s="199">
        <v>5</v>
      </c>
      <c r="E115" s="199">
        <v>16.7</v>
      </c>
      <c r="F115" s="234"/>
    </row>
    <row r="116" spans="1:13" ht="21" x14ac:dyDescent="0.25">
      <c r="A116" s="222"/>
      <c r="B116" s="236" t="s">
        <v>250</v>
      </c>
      <c r="C116" s="206" t="s">
        <v>177</v>
      </c>
      <c r="D116" s="208">
        <v>3</v>
      </c>
      <c r="E116" s="207">
        <f>(1/12)*100</f>
        <v>8.3333333333333321</v>
      </c>
      <c r="F116" s="223">
        <v>25</v>
      </c>
      <c r="G116"/>
      <c r="H116"/>
      <c r="I116"/>
      <c r="J116"/>
      <c r="K116"/>
      <c r="L116"/>
      <c r="M116"/>
    </row>
    <row r="117" spans="1:13" ht="21" x14ac:dyDescent="0.25">
      <c r="A117" s="222"/>
      <c r="B117" s="236"/>
      <c r="C117" s="206" t="s">
        <v>239</v>
      </c>
      <c r="D117" s="208">
        <v>1</v>
      </c>
      <c r="E117" s="207">
        <f t="shared" ref="E117:E127" si="0">(1/12)*100</f>
        <v>8.3333333333333321</v>
      </c>
      <c r="F117" s="224"/>
      <c r="G117"/>
      <c r="H117"/>
      <c r="I117"/>
      <c r="J117"/>
      <c r="K117"/>
      <c r="L117"/>
      <c r="M117"/>
    </row>
    <row r="118" spans="1:13" ht="21" x14ac:dyDescent="0.2">
      <c r="A118" s="222"/>
      <c r="B118" s="236"/>
      <c r="C118" s="206" t="s">
        <v>240</v>
      </c>
      <c r="D118" s="208">
        <v>2</v>
      </c>
      <c r="E118" s="207">
        <f t="shared" si="0"/>
        <v>8.3333333333333321</v>
      </c>
      <c r="F118" s="224"/>
    </row>
    <row r="119" spans="1:13" ht="31.5" x14ac:dyDescent="0.2">
      <c r="A119" s="222"/>
      <c r="B119" s="236"/>
      <c r="C119" s="206" t="s">
        <v>272</v>
      </c>
      <c r="D119" s="208">
        <v>1</v>
      </c>
      <c r="E119" s="207">
        <f t="shared" si="0"/>
        <v>8.3333333333333321</v>
      </c>
      <c r="F119" s="224"/>
    </row>
    <row r="120" spans="1:13" ht="21" x14ac:dyDescent="0.2">
      <c r="A120" s="222"/>
      <c r="B120" s="236"/>
      <c r="C120" s="206" t="s">
        <v>273</v>
      </c>
      <c r="D120" s="208">
        <v>1</v>
      </c>
      <c r="E120" s="207">
        <f t="shared" si="0"/>
        <v>8.3333333333333321</v>
      </c>
      <c r="F120" s="224"/>
    </row>
    <row r="121" spans="1:13" ht="21" x14ac:dyDescent="0.2">
      <c r="A121" s="222"/>
      <c r="B121" s="236"/>
      <c r="C121" s="206" t="s">
        <v>241</v>
      </c>
      <c r="D121" s="208">
        <v>1</v>
      </c>
      <c r="E121" s="207">
        <f t="shared" si="0"/>
        <v>8.3333333333333321</v>
      </c>
      <c r="F121" s="224"/>
    </row>
    <row r="122" spans="1:13" ht="21" x14ac:dyDescent="0.2">
      <c r="A122" s="222"/>
      <c r="B122" s="236"/>
      <c r="C122" s="206" t="s">
        <v>242</v>
      </c>
      <c r="D122" s="208">
        <v>3</v>
      </c>
      <c r="E122" s="207">
        <f t="shared" si="0"/>
        <v>8.3333333333333321</v>
      </c>
      <c r="F122" s="224"/>
    </row>
    <row r="123" spans="1:13" x14ac:dyDescent="0.2">
      <c r="A123" s="222"/>
      <c r="B123" s="236"/>
      <c r="C123" s="206" t="s">
        <v>187</v>
      </c>
      <c r="D123" s="208">
        <v>1</v>
      </c>
      <c r="E123" s="207">
        <f t="shared" si="0"/>
        <v>8.3333333333333321</v>
      </c>
      <c r="F123" s="224"/>
    </row>
    <row r="124" spans="1:13" ht="21" x14ac:dyDescent="0.2">
      <c r="A124" s="222"/>
      <c r="B124" s="236"/>
      <c r="C124" s="206" t="s">
        <v>189</v>
      </c>
      <c r="D124" s="208">
        <v>1</v>
      </c>
      <c r="E124" s="207">
        <f t="shared" si="0"/>
        <v>8.3333333333333321</v>
      </c>
      <c r="F124" s="224"/>
    </row>
    <row r="125" spans="1:13" ht="31.5" x14ac:dyDescent="0.2">
      <c r="A125" s="222"/>
      <c r="B125" s="236"/>
      <c r="C125" s="206" t="s">
        <v>192</v>
      </c>
      <c r="D125" s="208">
        <v>2</v>
      </c>
      <c r="E125" s="207">
        <f t="shared" si="0"/>
        <v>8.3333333333333321</v>
      </c>
      <c r="F125" s="224"/>
    </row>
    <row r="126" spans="1:13" ht="21" x14ac:dyDescent="0.2">
      <c r="A126" s="222"/>
      <c r="B126" s="236"/>
      <c r="C126" s="206" t="s">
        <v>197</v>
      </c>
      <c r="D126" s="208">
        <v>4</v>
      </c>
      <c r="E126" s="207">
        <f t="shared" si="0"/>
        <v>8.3333333333333321</v>
      </c>
      <c r="F126" s="224"/>
    </row>
    <row r="127" spans="1:13" x14ac:dyDescent="0.2">
      <c r="A127" s="222"/>
      <c r="B127" s="236"/>
      <c r="C127" s="206" t="s">
        <v>199</v>
      </c>
      <c r="D127" s="208">
        <v>1</v>
      </c>
      <c r="E127" s="207">
        <f t="shared" si="0"/>
        <v>8.3333333333333321</v>
      </c>
      <c r="F127" s="225"/>
    </row>
    <row r="128" spans="1:13" ht="21" x14ac:dyDescent="0.2">
      <c r="A128" s="222"/>
      <c r="B128" s="237" t="s">
        <v>249</v>
      </c>
      <c r="C128" s="201" t="s">
        <v>202</v>
      </c>
      <c r="D128" s="203">
        <v>4</v>
      </c>
      <c r="E128" s="203">
        <v>30</v>
      </c>
      <c r="F128" s="226">
        <v>25</v>
      </c>
    </row>
    <row r="129" spans="1:8" ht="31.5" x14ac:dyDescent="0.2">
      <c r="A129" s="222"/>
      <c r="B129" s="237"/>
      <c r="C129" s="201" t="s">
        <v>248</v>
      </c>
      <c r="D129" s="203">
        <v>8</v>
      </c>
      <c r="E129" s="203">
        <v>40</v>
      </c>
      <c r="F129" s="227"/>
    </row>
    <row r="130" spans="1:8" ht="21" x14ac:dyDescent="0.2">
      <c r="A130" s="222"/>
      <c r="B130" s="237"/>
      <c r="C130" s="201" t="s">
        <v>212</v>
      </c>
      <c r="D130" s="203">
        <v>2</v>
      </c>
      <c r="E130" s="203">
        <v>30</v>
      </c>
      <c r="F130" s="228"/>
    </row>
    <row r="131" spans="1:8" ht="21" x14ac:dyDescent="0.25">
      <c r="A131" s="222"/>
      <c r="B131" s="221" t="s">
        <v>253</v>
      </c>
      <c r="C131" s="197" t="s">
        <v>286</v>
      </c>
      <c r="D131" s="204">
        <v>1</v>
      </c>
      <c r="E131" s="204">
        <v>10</v>
      </c>
      <c r="F131" s="229">
        <v>25</v>
      </c>
      <c r="G131"/>
      <c r="H131"/>
    </row>
    <row r="132" spans="1:8" ht="31.5" x14ac:dyDescent="0.25">
      <c r="A132" s="222"/>
      <c r="B132" s="221"/>
      <c r="C132" s="197" t="s">
        <v>287</v>
      </c>
      <c r="D132" s="204">
        <v>4</v>
      </c>
      <c r="E132" s="204">
        <v>40</v>
      </c>
      <c r="F132" s="230"/>
      <c r="G132"/>
      <c r="H132"/>
    </row>
    <row r="133" spans="1:8" ht="21" x14ac:dyDescent="0.2">
      <c r="A133" s="222"/>
      <c r="B133" s="221"/>
      <c r="C133" s="197" t="s">
        <v>252</v>
      </c>
      <c r="D133" s="204">
        <v>4</v>
      </c>
      <c r="E133" s="204">
        <v>30</v>
      </c>
      <c r="F133" s="230"/>
    </row>
    <row r="134" spans="1:8" ht="21" x14ac:dyDescent="0.2">
      <c r="A134" s="222"/>
      <c r="B134" s="221"/>
      <c r="C134" s="197" t="s">
        <v>290</v>
      </c>
      <c r="D134" s="204">
        <v>3</v>
      </c>
      <c r="E134" s="204">
        <v>20</v>
      </c>
      <c r="F134" s="231"/>
    </row>
    <row r="135" spans="1:8" x14ac:dyDescent="0.2">
      <c r="C135" s="1">
        <v>25</v>
      </c>
      <c r="D135" s="1">
        <f>+SUM(D110:D134)</f>
        <v>63</v>
      </c>
    </row>
    <row r="136" spans="1:8" x14ac:dyDescent="0.2">
      <c r="D136" s="1">
        <f>+D135/128</f>
        <v>0.4921875</v>
      </c>
      <c r="E136" s="1">
        <f>10/63</f>
        <v>0.15873015873015872</v>
      </c>
    </row>
  </sheetData>
  <mergeCells count="203"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31:G31"/>
    <mergeCell ref="B51:E51"/>
    <mergeCell ref="B44:D44"/>
    <mergeCell ref="B38:M38"/>
    <mergeCell ref="E44:F44"/>
    <mergeCell ref="G44:H44"/>
    <mergeCell ref="F51:G51"/>
    <mergeCell ref="H51:I51"/>
    <mergeCell ref="J24:K24"/>
    <mergeCell ref="L24:M24"/>
    <mergeCell ref="B25:C25"/>
    <mergeCell ref="D25:E25"/>
    <mergeCell ref="F25:G25"/>
    <mergeCell ref="H25:I25"/>
    <mergeCell ref="J25:K25"/>
    <mergeCell ref="L25:M25"/>
    <mergeCell ref="L5:P5"/>
    <mergeCell ref="DX5:EF5"/>
    <mergeCell ref="CC7:CC9"/>
    <mergeCell ref="CF8:CF9"/>
    <mergeCell ref="CG8:CG9"/>
    <mergeCell ref="CH8:CH9"/>
    <mergeCell ref="GM7:GM9"/>
    <mergeCell ref="GN7:GN9"/>
    <mergeCell ref="CD6:GN6"/>
    <mergeCell ref="CI8:CT8"/>
    <mergeCell ref="DV8:DV9"/>
    <mergeCell ref="DW8:DW9"/>
    <mergeCell ref="DX8:ED8"/>
    <mergeCell ref="FQ8:FQ9"/>
    <mergeCell ref="EE8:EE9"/>
    <mergeCell ref="EF8:EF9"/>
    <mergeCell ref="EI8:EQ8"/>
    <mergeCell ref="EI7:EQ7"/>
    <mergeCell ref="DX7:EH7"/>
    <mergeCell ref="EG8:EG9"/>
    <mergeCell ref="EH8:EH9"/>
    <mergeCell ref="CI7:CT7"/>
    <mergeCell ref="CU8:DF8"/>
    <mergeCell ref="DG8:DR8"/>
    <mergeCell ref="MK8:MK9"/>
    <mergeCell ref="ML8:ML9"/>
    <mergeCell ref="LR8:MJ8"/>
    <mergeCell ref="DU8:DU9"/>
    <mergeCell ref="DS8:DS9"/>
    <mergeCell ref="DT8:DT9"/>
    <mergeCell ref="CU7:DT7"/>
    <mergeCell ref="IQ8:JD8"/>
    <mergeCell ref="JG8:JG9"/>
    <mergeCell ref="JH8:JH9"/>
    <mergeCell ref="IE7:JH7"/>
    <mergeCell ref="HG7:IC7"/>
    <mergeCell ref="IB8:IB9"/>
    <mergeCell ref="IC8:IC9"/>
    <mergeCell ref="ID7:ID8"/>
    <mergeCell ref="KD8:KD9"/>
    <mergeCell ref="JK8:KC8"/>
    <mergeCell ref="JI7:KE7"/>
    <mergeCell ref="D8:D9"/>
    <mergeCell ref="E8:E9"/>
    <mergeCell ref="B7:E7"/>
    <mergeCell ref="G8:G9"/>
    <mergeCell ref="H8:H9"/>
    <mergeCell ref="I8:I9"/>
    <mergeCell ref="J8:J9"/>
    <mergeCell ref="G7:K7"/>
    <mergeCell ref="JE8:JF8"/>
    <mergeCell ref="R8:R9"/>
    <mergeCell ref="AY8:AZ9"/>
    <mergeCell ref="BA8:BB9"/>
    <mergeCell ref="BC9:BD9"/>
    <mergeCell ref="BN9:BO9"/>
    <mergeCell ref="BQ9:BR9"/>
    <mergeCell ref="BS9:BT9"/>
    <mergeCell ref="BU9:BV9"/>
    <mergeCell ref="K8:K9"/>
    <mergeCell ref="A6:A9"/>
    <mergeCell ref="B6:CC6"/>
    <mergeCell ref="CD8:CD9"/>
    <mergeCell ref="CE8:CE9"/>
    <mergeCell ref="CD7:CH7"/>
    <mergeCell ref="L8:M9"/>
    <mergeCell ref="N8:O9"/>
    <mergeCell ref="CA8:CA9"/>
    <mergeCell ref="AX7:CA7"/>
    <mergeCell ref="L7:R7"/>
    <mergeCell ref="S7:AW7"/>
    <mergeCell ref="CB7:CB9"/>
    <mergeCell ref="AX8:AX9"/>
    <mergeCell ref="BC8:BM8"/>
    <mergeCell ref="BN8:BY8"/>
    <mergeCell ref="BZ8:BZ9"/>
    <mergeCell ref="S8:Y8"/>
    <mergeCell ref="Z8:AU8"/>
    <mergeCell ref="AV8:AV9"/>
    <mergeCell ref="AW8:AW9"/>
    <mergeCell ref="P8:P9"/>
    <mergeCell ref="Q8:Q9"/>
    <mergeCell ref="B8:B9"/>
    <mergeCell ref="C8:C9"/>
    <mergeCell ref="GO6:HF6"/>
    <mergeCell ref="GO7:GO9"/>
    <mergeCell ref="GP7:GV8"/>
    <mergeCell ref="GW7:GW9"/>
    <mergeCell ref="GX7:HD8"/>
    <mergeCell ref="HE7:HE9"/>
    <mergeCell ref="HF7:HF9"/>
    <mergeCell ref="ER8:ER9"/>
    <mergeCell ref="ES8:ES9"/>
    <mergeCell ref="ET8:FO8"/>
    <mergeCell ref="ES7:FQ7"/>
    <mergeCell ref="FP8:FP9"/>
    <mergeCell ref="GO5:KQ5"/>
    <mergeCell ref="GL7:GL9"/>
    <mergeCell ref="GH8:GH9"/>
    <mergeCell ref="GI8:GI9"/>
    <mergeCell ref="FR7:GI7"/>
    <mergeCell ref="GJ8:GJ9"/>
    <mergeCell ref="GK7:GK9"/>
    <mergeCell ref="FR8:FR9"/>
    <mergeCell ref="FS8:FY8"/>
    <mergeCell ref="FZ8:FZ9"/>
    <mergeCell ref="GA8:GG8"/>
    <mergeCell ref="HI8:IA8"/>
    <mergeCell ref="KE8:KE9"/>
    <mergeCell ref="KF7:KF9"/>
    <mergeCell ref="KG7:KG9"/>
    <mergeCell ref="KH7:KH9"/>
    <mergeCell ref="KI7:KI9"/>
    <mergeCell ref="KL7:KL9"/>
    <mergeCell ref="KM7:KM9"/>
    <mergeCell ref="KQ6:KQ9"/>
    <mergeCell ref="HG6:KK6"/>
    <mergeCell ref="KJ7:KJ9"/>
    <mergeCell ref="KK7:KK9"/>
    <mergeCell ref="IE8:IP8"/>
    <mergeCell ref="OQ8:OQ9"/>
    <mergeCell ref="KS6:OH6"/>
    <mergeCell ref="OG7:OG9"/>
    <mergeCell ref="OH7:OH9"/>
    <mergeCell ref="OI7:OI9"/>
    <mergeCell ref="OJ7:OJ9"/>
    <mergeCell ref="KN7:KN9"/>
    <mergeCell ref="KO7:KO9"/>
    <mergeCell ref="KL6:KO6"/>
    <mergeCell ref="KP6:KP9"/>
    <mergeCell ref="OE8:OE9"/>
    <mergeCell ref="OF8:OF9"/>
    <mergeCell ref="NH8:NH9"/>
    <mergeCell ref="NI8:NI9"/>
    <mergeCell ref="MO8:NG8"/>
    <mergeCell ref="KR7:KR9"/>
    <mergeCell ref="KS7:LO7"/>
    <mergeCell ref="LP7:ML7"/>
    <mergeCell ref="MM7:NI7"/>
    <mergeCell ref="NL8:OD8"/>
    <mergeCell ref="NJ7:OF7"/>
    <mergeCell ref="LN8:LN9"/>
    <mergeCell ref="LO8:LO9"/>
    <mergeCell ref="KU8:LM8"/>
    <mergeCell ref="B58:G58"/>
    <mergeCell ref="H58:S58"/>
    <mergeCell ref="T58:V58"/>
    <mergeCell ref="W58:Z58"/>
    <mergeCell ref="OY7:OY9"/>
    <mergeCell ref="OU6:OY6"/>
    <mergeCell ref="KR5:PA5"/>
    <mergeCell ref="OZ6:OZ9"/>
    <mergeCell ref="PA6:PA9"/>
    <mergeCell ref="OU7:OU9"/>
    <mergeCell ref="OV7:OV9"/>
    <mergeCell ref="OW7:OW9"/>
    <mergeCell ref="OX7:OX9"/>
    <mergeCell ref="OR8:OR9"/>
    <mergeCell ref="OL7:OR7"/>
    <mergeCell ref="OS7:OS9"/>
    <mergeCell ref="OT7:OT9"/>
    <mergeCell ref="OI6:OT6"/>
    <mergeCell ref="OK8:OK9"/>
    <mergeCell ref="OL8:OL9"/>
    <mergeCell ref="OM8:OM9"/>
    <mergeCell ref="ON8:ON9"/>
    <mergeCell ref="OO8:OO9"/>
    <mergeCell ref="OP8:OP9"/>
    <mergeCell ref="B131:B134"/>
    <mergeCell ref="A109:A134"/>
    <mergeCell ref="F116:F127"/>
    <mergeCell ref="F128:F130"/>
    <mergeCell ref="F131:F134"/>
    <mergeCell ref="F110:F115"/>
    <mergeCell ref="B110:B115"/>
    <mergeCell ref="B116:B127"/>
    <mergeCell ref="B128:B130"/>
  </mergeCells>
  <pageMargins left="0.7" right="0.7" top="0.75" bottom="0.75" header="0.3" footer="0.3"/>
  <pageSetup orientation="portrait" verticalDpi="597" r:id="rId1"/>
  <ignoredErrors>
    <ignoredError sqref="J11:K11 FN11:FO11 EC11:ED11 FX11:FY11 GF11:GG11 GL11 GN11 IO11:IP11" formulaRange="1"/>
    <ignoredError sqref="F4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A226"/>
  <sheetViews>
    <sheetView showGridLines="0" zoomScale="80" zoomScaleNormal="80" workbookViewId="0"/>
  </sheetViews>
  <sheetFormatPr baseColWidth="10" defaultColWidth="11.42578125" defaultRowHeight="12.75" x14ac:dyDescent="0.2"/>
  <cols>
    <col min="1" max="1" width="29.42578125" style="1" customWidth="1"/>
    <col min="2" max="2" width="19.140625" style="1" customWidth="1"/>
    <col min="3" max="3" width="15.28515625" style="1" customWidth="1"/>
    <col min="4" max="4" width="14.28515625" style="1" customWidth="1"/>
    <col min="5" max="5" width="14.140625" style="1" customWidth="1"/>
    <col min="6" max="6" width="15.5703125" style="1" customWidth="1"/>
    <col min="7" max="7" width="12.28515625" style="1" customWidth="1"/>
    <col min="8" max="8" width="10.42578125" style="1" customWidth="1"/>
    <col min="9" max="9" width="11.140625" style="1" customWidth="1"/>
    <col min="10" max="11" width="12.140625" style="1" customWidth="1"/>
    <col min="12" max="12" width="13.42578125" style="1" bestFit="1" customWidth="1"/>
    <col min="13" max="13" width="15.7109375" style="1" customWidth="1"/>
    <col min="14" max="14" width="15.85546875" style="1" customWidth="1"/>
    <col min="15" max="15" width="14.85546875" style="1" customWidth="1"/>
    <col min="16" max="16" width="11.7109375" style="1" customWidth="1"/>
    <col min="17" max="17" width="12.28515625" style="1" customWidth="1"/>
    <col min="18" max="18" width="12" style="1" customWidth="1"/>
    <col min="19" max="19" width="13.7109375" style="1" customWidth="1"/>
    <col min="20" max="20" width="14.140625" style="1" customWidth="1"/>
    <col min="21" max="21" width="11.85546875" style="1" bestFit="1" customWidth="1"/>
    <col min="22" max="22" width="13.28515625" style="1" bestFit="1" customWidth="1"/>
    <col min="23" max="23" width="12.28515625" style="1" bestFit="1" customWidth="1"/>
    <col min="24" max="24" width="14" style="1" bestFit="1" customWidth="1"/>
    <col min="25" max="25" width="13" style="1" bestFit="1" customWidth="1"/>
    <col min="26" max="26" width="9" style="1" bestFit="1" customWidth="1"/>
    <col min="27" max="27" width="10.28515625" style="1" bestFit="1" customWidth="1"/>
    <col min="28" max="28" width="8.7109375" style="1" bestFit="1" customWidth="1"/>
    <col min="29" max="29" width="9.140625" style="1" bestFit="1" customWidth="1"/>
    <col min="30" max="30" width="8.7109375" style="1" bestFit="1" customWidth="1"/>
    <col min="31" max="31" width="10.5703125" style="1" customWidth="1"/>
    <col min="32" max="34" width="11.140625" style="1" customWidth="1"/>
    <col min="35" max="35" width="14.140625" style="1" customWidth="1"/>
    <col min="36" max="37" width="16.85546875" style="1" customWidth="1"/>
    <col min="38" max="39" width="13.85546875" style="1" customWidth="1"/>
    <col min="40" max="42" width="18" style="1" customWidth="1"/>
    <col min="43" max="43" width="33" style="1" customWidth="1"/>
    <col min="44" max="44" width="18" style="1" customWidth="1"/>
    <col min="45" max="45" width="17.5703125" style="1" bestFit="1" customWidth="1"/>
    <col min="46" max="46" width="16" style="1" bestFit="1" customWidth="1"/>
    <col min="47" max="47" width="18" style="1" customWidth="1"/>
    <col min="48" max="48" width="18" style="1" bestFit="1" customWidth="1"/>
    <col min="49" max="49" width="9.28515625" style="1" bestFit="1" customWidth="1"/>
    <col min="50" max="50" width="9.140625" style="1" customWidth="1"/>
    <col min="51" max="51" width="17.42578125" style="1" bestFit="1" customWidth="1"/>
    <col min="52" max="52" width="17.28515625" style="1" customWidth="1"/>
    <col min="53" max="53" width="18" style="1" customWidth="1"/>
    <col min="54" max="54" width="17.28515625" style="1" bestFit="1" customWidth="1"/>
    <col min="55" max="55" width="17.140625" style="1" customWidth="1"/>
    <col min="56" max="56" width="16.42578125" style="1" bestFit="1" customWidth="1"/>
    <col min="57" max="57" width="16.28515625" style="1" customWidth="1"/>
    <col min="58" max="59" width="17.85546875" style="1" customWidth="1"/>
    <col min="60" max="60" width="18" style="1" customWidth="1"/>
    <col min="61" max="61" width="9.28515625" style="1" bestFit="1" customWidth="1"/>
    <col min="62" max="64" width="9.140625" style="1" customWidth="1"/>
    <col min="65" max="65" width="10.28515625" style="1" customWidth="1"/>
    <col min="66" max="66" width="10.5703125" style="1" customWidth="1"/>
    <col min="67" max="67" width="11.28515625" style="1" customWidth="1"/>
    <col min="68" max="68" width="9.28515625" style="1" bestFit="1" customWidth="1"/>
    <col min="69" max="69" width="11.42578125" style="1" bestFit="1" customWidth="1"/>
    <col min="70" max="71" width="11.28515625" style="1" customWidth="1"/>
    <col min="72" max="72" width="11.5703125" style="1" bestFit="1" customWidth="1"/>
    <col min="73" max="73" width="10.28515625" style="1" bestFit="1" customWidth="1"/>
    <col min="74" max="74" width="8.7109375" style="1" bestFit="1" customWidth="1"/>
    <col min="75" max="80" width="11.5703125" style="1" bestFit="1" customWidth="1"/>
    <col min="81" max="81" width="11.28515625" style="1" customWidth="1"/>
    <col min="82" max="82" width="9.28515625" style="1" bestFit="1" customWidth="1"/>
    <col min="83" max="83" width="9.140625" style="1" customWidth="1"/>
    <col min="84" max="84" width="8.7109375" style="1" bestFit="1" customWidth="1"/>
    <col min="85" max="85" width="9.28515625" style="1" bestFit="1" customWidth="1"/>
    <col min="86" max="87" width="8.7109375" style="1" bestFit="1" customWidth="1"/>
    <col min="88" max="88" width="10" style="1" bestFit="1" customWidth="1"/>
    <col min="89" max="89" width="8.85546875" style="1" bestFit="1" customWidth="1"/>
    <col min="90" max="90" width="9.42578125" style="1" bestFit="1" customWidth="1"/>
    <col min="91" max="91" width="9.140625" style="1" bestFit="1" customWidth="1"/>
    <col min="92" max="92" width="9.85546875" style="1" bestFit="1" customWidth="1"/>
    <col min="93" max="93" width="8.7109375" style="1" bestFit="1" customWidth="1"/>
    <col min="94" max="94" width="9.28515625" style="1" bestFit="1" customWidth="1"/>
    <col min="95" max="95" width="9.140625" style="1" customWidth="1"/>
    <col min="96" max="96" width="10.7109375" style="1" bestFit="1" customWidth="1"/>
    <col min="97" max="97" width="11.28515625" style="1" bestFit="1" customWidth="1"/>
    <col min="98" max="98" width="10.140625" style="1" bestFit="1" customWidth="1"/>
    <col min="99" max="99" width="9" style="1" bestFit="1" customWidth="1"/>
    <col min="100" max="100" width="9.85546875" style="1" bestFit="1" customWidth="1"/>
    <col min="101" max="101" width="11.140625" style="1" bestFit="1" customWidth="1"/>
    <col min="102" max="102" width="9.42578125" style="1" bestFit="1" customWidth="1"/>
    <col min="103" max="103" width="8.7109375" style="1" bestFit="1" customWidth="1"/>
    <col min="104" max="104" width="10.5703125" style="1" bestFit="1" customWidth="1"/>
    <col min="105" max="105" width="8.7109375" style="1" bestFit="1" customWidth="1"/>
    <col min="106" max="106" width="9.28515625" style="1" bestFit="1" customWidth="1"/>
    <col min="107" max="109" width="9.140625" style="1" customWidth="1"/>
    <col min="110" max="114" width="11.5703125" style="1" bestFit="1" customWidth="1"/>
    <col min="115" max="115" width="8.7109375" style="1" bestFit="1" customWidth="1"/>
    <col min="116" max="116" width="9.28515625" style="1" bestFit="1" customWidth="1"/>
    <col min="117" max="117" width="9.140625" style="1" customWidth="1"/>
    <col min="118" max="118" width="18.7109375" style="1" customWidth="1"/>
    <col min="119" max="119" width="16.28515625" style="1" customWidth="1"/>
    <col min="120" max="121" width="12.85546875" style="1" bestFit="1" customWidth="1"/>
    <col min="122" max="130" width="11.5703125" style="1" bestFit="1" customWidth="1"/>
    <col min="131" max="131" width="19.85546875" style="1" customWidth="1"/>
    <col min="132" max="156" width="11.5703125" style="1" bestFit="1" customWidth="1"/>
    <col min="157" max="157" width="11.5703125" style="2" bestFit="1" customWidth="1"/>
    <col min="158" max="176" width="11.5703125" style="1" bestFit="1" customWidth="1"/>
    <col min="177" max="177" width="14.28515625" style="2" customWidth="1"/>
    <col min="178" max="181" width="11.5703125" style="1" bestFit="1" customWidth="1"/>
    <col min="182" max="182" width="12.7109375" style="1" customWidth="1"/>
    <col min="183" max="183" width="12.5703125" style="1" customWidth="1"/>
    <col min="184" max="184" width="16.140625" style="1" customWidth="1"/>
    <col min="185" max="185" width="15.5703125" style="1" customWidth="1"/>
    <col min="186" max="186" width="13.42578125" style="1" customWidth="1"/>
    <col min="187" max="187" width="12.5703125" style="1" customWidth="1"/>
    <col min="188" max="16384" width="11.42578125" style="1"/>
  </cols>
  <sheetData>
    <row r="1" spans="1:417" x14ac:dyDescent="0.2">
      <c r="L1" s="2"/>
      <c r="M1" s="2"/>
      <c r="N1" s="2"/>
      <c r="O1" s="2"/>
      <c r="FA1" s="1"/>
      <c r="FR1" s="2"/>
      <c r="FU1" s="1"/>
      <c r="HX1" s="1" t="s">
        <v>232</v>
      </c>
      <c r="HY1" s="1">
        <v>7820</v>
      </c>
      <c r="HZ1" s="1">
        <f>+HY1/$HY$4</f>
        <v>0.33595394595523476</v>
      </c>
      <c r="ID1" s="2"/>
    </row>
    <row r="2" spans="1:417" ht="22.5" x14ac:dyDescent="0.3">
      <c r="B2" s="330" t="s">
        <v>317</v>
      </c>
      <c r="L2" s="2"/>
      <c r="M2" s="2"/>
      <c r="N2" s="2"/>
      <c r="O2" s="2"/>
      <c r="FA2" s="1"/>
      <c r="FR2" s="2"/>
      <c r="FU2" s="1"/>
      <c r="HX2" s="1" t="s">
        <v>233</v>
      </c>
      <c r="HY2" s="1">
        <v>10003</v>
      </c>
      <c r="HZ2" s="1">
        <f>+HY2/$HY$4</f>
        <v>0.42973750912918329</v>
      </c>
      <c r="ID2" s="2"/>
    </row>
    <row r="3" spans="1:417" x14ac:dyDescent="0.2">
      <c r="L3" s="2"/>
      <c r="M3" s="2"/>
      <c r="N3" s="2"/>
      <c r="O3" s="2"/>
      <c r="FA3" s="1"/>
      <c r="FR3" s="2"/>
      <c r="FU3" s="1"/>
      <c r="HX3" s="1" t="s">
        <v>231</v>
      </c>
      <c r="HY3" s="1">
        <v>5454</v>
      </c>
      <c r="HZ3" s="1">
        <f>+HY3/$HY$4</f>
        <v>0.2343085449155819</v>
      </c>
      <c r="ID3" s="2"/>
    </row>
    <row r="4" spans="1:417" x14ac:dyDescent="0.2">
      <c r="L4" s="2"/>
      <c r="M4" s="2"/>
      <c r="N4" s="2"/>
      <c r="O4" s="2"/>
      <c r="DX4" s="2"/>
      <c r="FA4" s="1"/>
      <c r="FR4" s="2"/>
      <c r="FU4" s="1"/>
      <c r="HX4" s="1" t="s">
        <v>234</v>
      </c>
      <c r="HY4" s="1">
        <f>+SUM(HY1:HY3)</f>
        <v>23277</v>
      </c>
      <c r="HZ4" s="1">
        <f>+HY4/$HY$4</f>
        <v>1</v>
      </c>
      <c r="ID4" s="2"/>
    </row>
    <row r="5" spans="1:417" x14ac:dyDescent="0.2">
      <c r="L5" s="291"/>
      <c r="M5" s="291"/>
      <c r="N5" s="291"/>
      <c r="O5" s="291"/>
      <c r="P5" s="291"/>
      <c r="Q5" s="220"/>
      <c r="R5" s="220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CT5" s="220"/>
      <c r="DR5" s="220"/>
      <c r="DS5" s="220"/>
      <c r="DT5" s="220"/>
      <c r="DU5" s="12"/>
      <c r="DV5" s="12"/>
      <c r="DX5" s="291"/>
      <c r="DY5" s="291"/>
      <c r="DZ5" s="291"/>
      <c r="EA5" s="291"/>
      <c r="EB5" s="291"/>
      <c r="EC5" s="291"/>
      <c r="ED5" s="291"/>
      <c r="EE5" s="291"/>
      <c r="EF5" s="291"/>
      <c r="EG5" s="220"/>
      <c r="EH5" s="220"/>
      <c r="EP5" s="220"/>
      <c r="EQ5" s="220"/>
      <c r="FA5" s="1"/>
      <c r="FN5" s="220"/>
      <c r="FO5" s="220"/>
      <c r="FP5" s="220"/>
      <c r="FQ5" s="220"/>
      <c r="FR5" s="2"/>
      <c r="FU5" s="1"/>
      <c r="GF5" s="61"/>
      <c r="GG5" s="61"/>
      <c r="GH5" s="61"/>
      <c r="GI5" s="61"/>
      <c r="GO5" s="257" t="s">
        <v>249</v>
      </c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  <c r="IW5" s="257"/>
      <c r="IX5" s="257"/>
      <c r="IY5" s="257"/>
      <c r="IZ5" s="257"/>
      <c r="JA5" s="257"/>
      <c r="JB5" s="257"/>
      <c r="JC5" s="257"/>
      <c r="JD5" s="257"/>
      <c r="JE5" s="257"/>
      <c r="JF5" s="257"/>
      <c r="JG5" s="257"/>
      <c r="JH5" s="257"/>
      <c r="JI5" s="257"/>
      <c r="JJ5" s="257"/>
      <c r="JK5" s="257"/>
      <c r="JL5" s="257"/>
      <c r="JM5" s="257"/>
      <c r="JN5" s="257"/>
      <c r="JO5" s="257"/>
      <c r="JP5" s="257"/>
      <c r="JQ5" s="257"/>
      <c r="JR5" s="257"/>
      <c r="JS5" s="257"/>
      <c r="JT5" s="257"/>
      <c r="JU5" s="257"/>
      <c r="JV5" s="257"/>
      <c r="JW5" s="257"/>
      <c r="JX5" s="257"/>
      <c r="JY5" s="257"/>
      <c r="JZ5" s="257"/>
      <c r="KA5" s="257"/>
      <c r="KB5" s="257"/>
      <c r="KC5" s="257"/>
      <c r="KD5" s="257"/>
      <c r="KE5" s="257"/>
      <c r="KF5" s="257"/>
      <c r="KG5" s="257"/>
      <c r="KH5" s="257"/>
      <c r="KI5" s="257"/>
      <c r="KJ5" s="257"/>
      <c r="KK5" s="257"/>
      <c r="KL5" s="257"/>
      <c r="KM5" s="257"/>
      <c r="KN5" s="257"/>
      <c r="KO5" s="257"/>
      <c r="KP5" s="257"/>
      <c r="KQ5" s="257"/>
      <c r="KR5" s="248" t="s">
        <v>253</v>
      </c>
      <c r="KS5" s="248"/>
      <c r="KT5" s="248"/>
      <c r="KU5" s="248"/>
      <c r="KV5" s="248"/>
      <c r="KW5" s="248"/>
      <c r="KX5" s="248"/>
      <c r="KY5" s="248"/>
      <c r="KZ5" s="248"/>
      <c r="LA5" s="248"/>
      <c r="LB5" s="248"/>
      <c r="LC5" s="248"/>
      <c r="LD5" s="248"/>
      <c r="LE5" s="248"/>
      <c r="LF5" s="248"/>
      <c r="LG5" s="248"/>
      <c r="LH5" s="248"/>
      <c r="LI5" s="248"/>
      <c r="LJ5" s="248"/>
      <c r="LK5" s="248"/>
      <c r="LL5" s="248"/>
      <c r="LM5" s="248"/>
      <c r="LN5" s="248"/>
      <c r="LO5" s="248"/>
      <c r="LP5" s="248"/>
      <c r="LQ5" s="248"/>
      <c r="LR5" s="248"/>
      <c r="LS5" s="248"/>
      <c r="LT5" s="248"/>
      <c r="LU5" s="248"/>
      <c r="LV5" s="248"/>
      <c r="LW5" s="248"/>
      <c r="LX5" s="248"/>
      <c r="LY5" s="248"/>
      <c r="LZ5" s="248"/>
      <c r="MA5" s="248"/>
      <c r="MB5" s="248"/>
      <c r="MC5" s="248"/>
      <c r="MD5" s="248"/>
      <c r="ME5" s="248"/>
      <c r="MF5" s="248"/>
      <c r="MG5" s="248"/>
      <c r="MH5" s="248"/>
      <c r="MI5" s="248"/>
      <c r="MJ5" s="248"/>
      <c r="MK5" s="248"/>
      <c r="ML5" s="248"/>
      <c r="MM5" s="248"/>
      <c r="MN5" s="248"/>
      <c r="MO5" s="248"/>
      <c r="MP5" s="248"/>
      <c r="MQ5" s="248"/>
      <c r="MR5" s="248"/>
      <c r="MS5" s="248"/>
      <c r="MT5" s="248"/>
      <c r="MU5" s="248"/>
      <c r="MV5" s="248"/>
      <c r="MW5" s="248"/>
      <c r="MX5" s="248"/>
      <c r="MY5" s="248"/>
      <c r="MZ5" s="248"/>
      <c r="NA5" s="248"/>
      <c r="NB5" s="248"/>
      <c r="NC5" s="248"/>
      <c r="ND5" s="248"/>
      <c r="NE5" s="248"/>
      <c r="NF5" s="248"/>
      <c r="NG5" s="248"/>
      <c r="NH5" s="248"/>
      <c r="NI5" s="248"/>
      <c r="NJ5" s="248"/>
      <c r="NK5" s="248"/>
      <c r="NL5" s="248"/>
      <c r="NM5" s="248"/>
      <c r="NN5" s="248"/>
      <c r="NO5" s="248"/>
      <c r="NP5" s="248"/>
      <c r="NQ5" s="248"/>
      <c r="NR5" s="248"/>
      <c r="NS5" s="248"/>
      <c r="NT5" s="248"/>
      <c r="NU5" s="248"/>
      <c r="NV5" s="248"/>
      <c r="NW5" s="248"/>
      <c r="NX5" s="248"/>
      <c r="NY5" s="248"/>
      <c r="NZ5" s="248"/>
      <c r="OA5" s="248"/>
      <c r="OB5" s="248"/>
      <c r="OC5" s="248"/>
      <c r="OD5" s="248"/>
      <c r="OE5" s="248"/>
      <c r="OF5" s="248"/>
      <c r="OG5" s="248"/>
      <c r="OH5" s="248"/>
      <c r="OI5" s="248"/>
      <c r="OJ5" s="248"/>
      <c r="OK5" s="248"/>
      <c r="OL5" s="248"/>
      <c r="OM5" s="248"/>
      <c r="ON5" s="248"/>
      <c r="OO5" s="248"/>
      <c r="OP5" s="248"/>
      <c r="OQ5" s="248"/>
      <c r="OR5" s="248"/>
      <c r="OS5" s="248"/>
      <c r="OT5" s="248"/>
      <c r="OU5" s="248"/>
      <c r="OV5" s="248"/>
      <c r="OW5" s="248"/>
      <c r="OX5" s="248"/>
      <c r="OY5" s="248"/>
      <c r="OZ5" s="248"/>
      <c r="PA5" s="248"/>
    </row>
    <row r="6" spans="1:417" x14ac:dyDescent="0.2">
      <c r="B6" s="318" t="s">
        <v>251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20"/>
      <c r="BO6" s="292" t="s">
        <v>250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4"/>
      <c r="FU6" s="309" t="s">
        <v>249</v>
      </c>
      <c r="FV6" s="310"/>
      <c r="FW6" s="310"/>
      <c r="FX6" s="310"/>
      <c r="FY6" s="310"/>
      <c r="FZ6" s="310"/>
      <c r="GA6" s="311"/>
      <c r="GB6" s="248" t="s">
        <v>253</v>
      </c>
      <c r="GC6" s="248"/>
      <c r="GD6" s="248"/>
      <c r="GE6" s="248"/>
    </row>
    <row r="7" spans="1:417" ht="38.25" customHeight="1" x14ac:dyDescent="0.2">
      <c r="B7" s="34" t="s">
        <v>222</v>
      </c>
      <c r="C7" s="34" t="s">
        <v>160</v>
      </c>
      <c r="D7" s="327" t="s">
        <v>168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9" t="s">
        <v>238</v>
      </c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276" t="s">
        <v>258</v>
      </c>
      <c r="BN7" s="276" t="s">
        <v>259</v>
      </c>
      <c r="BO7" s="259" t="s">
        <v>177</v>
      </c>
      <c r="BP7" s="259"/>
      <c r="BQ7" s="259"/>
      <c r="BR7" s="259"/>
      <c r="BS7" s="259"/>
      <c r="BT7" s="259" t="s">
        <v>239</v>
      </c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323" t="s">
        <v>240</v>
      </c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5" t="s">
        <v>241</v>
      </c>
      <c r="DG7" s="259" t="s">
        <v>242</v>
      </c>
      <c r="DH7" s="259"/>
      <c r="DI7" s="259"/>
      <c r="DJ7" s="259"/>
      <c r="DK7" s="259"/>
      <c r="DL7" s="259"/>
      <c r="DM7" s="259"/>
      <c r="DN7" s="259"/>
      <c r="DO7" s="259"/>
      <c r="DP7" s="259"/>
      <c r="DQ7" s="259"/>
      <c r="DR7" s="259" t="s">
        <v>187</v>
      </c>
      <c r="DS7" s="259"/>
      <c r="DT7" s="259"/>
      <c r="DU7" s="259"/>
      <c r="DV7" s="259"/>
      <c r="DW7" s="259"/>
      <c r="DX7" s="259"/>
      <c r="DY7" s="259"/>
      <c r="DZ7" s="259"/>
      <c r="EA7" s="38" t="s">
        <v>189</v>
      </c>
      <c r="EB7" s="259" t="s">
        <v>192</v>
      </c>
      <c r="EC7" s="259"/>
      <c r="ED7" s="259"/>
      <c r="EE7" s="259"/>
      <c r="EF7" s="259"/>
      <c r="EG7" s="259"/>
      <c r="EH7" s="259"/>
      <c r="EI7" s="259"/>
      <c r="EJ7" s="259"/>
      <c r="EK7" s="259"/>
      <c r="EL7" s="259"/>
      <c r="EM7" s="259"/>
      <c r="EN7" s="259"/>
      <c r="EO7" s="259"/>
      <c r="EP7" s="259"/>
      <c r="EQ7" s="259"/>
      <c r="ER7" s="259"/>
      <c r="ES7" s="259"/>
      <c r="ET7" s="259"/>
      <c r="EU7" s="259"/>
      <c r="EV7" s="259"/>
      <c r="EW7" s="259"/>
      <c r="EX7" s="259"/>
      <c r="EY7" s="259"/>
      <c r="EZ7" s="259"/>
      <c r="FA7" s="315" t="s">
        <v>197</v>
      </c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7"/>
      <c r="FS7" s="258" t="s">
        <v>258</v>
      </c>
      <c r="FT7" s="258" t="s">
        <v>259</v>
      </c>
      <c r="FU7" s="324" t="s">
        <v>248</v>
      </c>
      <c r="FV7" s="325"/>
      <c r="FW7" s="325"/>
      <c r="FX7" s="325"/>
      <c r="FY7" s="325"/>
      <c r="FZ7" s="325"/>
      <c r="GA7" s="326"/>
      <c r="GB7" s="322" t="s">
        <v>252</v>
      </c>
      <c r="GC7" s="322"/>
      <c r="GD7" s="322"/>
      <c r="GE7" s="322"/>
    </row>
    <row r="8" spans="1:417" ht="61.5" customHeight="1" x14ac:dyDescent="0.2">
      <c r="B8" s="277" t="s">
        <v>223</v>
      </c>
      <c r="C8" s="37" t="s">
        <v>159</v>
      </c>
      <c r="D8" s="277" t="s">
        <v>236</v>
      </c>
      <c r="E8" s="277"/>
      <c r="F8" s="277"/>
      <c r="G8" s="277"/>
      <c r="H8" s="277"/>
      <c r="I8" s="277"/>
      <c r="J8" s="277"/>
      <c r="K8" s="278" t="s">
        <v>237</v>
      </c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46" t="s">
        <v>254</v>
      </c>
      <c r="AH8" s="246" t="s">
        <v>255</v>
      </c>
      <c r="AI8" s="277" t="s">
        <v>169</v>
      </c>
      <c r="AJ8" s="271" t="s">
        <v>170</v>
      </c>
      <c r="AK8" s="272"/>
      <c r="AL8" s="271" t="s">
        <v>171</v>
      </c>
      <c r="AM8" s="272"/>
      <c r="AN8" s="278" t="s">
        <v>172</v>
      </c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 t="s">
        <v>173</v>
      </c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46" t="s">
        <v>254</v>
      </c>
      <c r="BL8" s="246" t="s">
        <v>255</v>
      </c>
      <c r="BM8" s="276"/>
      <c r="BN8" s="276"/>
      <c r="BO8" s="260" t="s">
        <v>174</v>
      </c>
      <c r="BP8" s="260" t="s">
        <v>175</v>
      </c>
      <c r="BQ8" s="260" t="s">
        <v>176</v>
      </c>
      <c r="BR8" s="246" t="s">
        <v>254</v>
      </c>
      <c r="BS8" s="246" t="s">
        <v>255</v>
      </c>
      <c r="BT8" s="261" t="s">
        <v>178</v>
      </c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0" t="s">
        <v>179</v>
      </c>
      <c r="CG8" s="260"/>
      <c r="CH8" s="260"/>
      <c r="CI8" s="260"/>
      <c r="CJ8" s="260"/>
      <c r="CK8" s="260"/>
      <c r="CL8" s="260"/>
      <c r="CM8" s="260"/>
      <c r="CN8" s="260"/>
      <c r="CO8" s="260"/>
      <c r="CP8" s="260"/>
      <c r="CQ8" s="260"/>
      <c r="CR8" s="261" t="s">
        <v>180</v>
      </c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46" t="s">
        <v>254</v>
      </c>
      <c r="DE8" s="246" t="s">
        <v>255</v>
      </c>
      <c r="DF8" s="260" t="s">
        <v>182</v>
      </c>
      <c r="DG8" s="261" t="s">
        <v>183</v>
      </c>
      <c r="DH8" s="261"/>
      <c r="DI8" s="261"/>
      <c r="DJ8" s="261"/>
      <c r="DK8" s="261"/>
      <c r="DL8" s="261"/>
      <c r="DM8" s="261"/>
      <c r="DN8" s="260" t="s">
        <v>184</v>
      </c>
      <c r="DO8" s="260" t="s">
        <v>185</v>
      </c>
      <c r="DP8" s="246" t="s">
        <v>254</v>
      </c>
      <c r="DQ8" s="246" t="s">
        <v>255</v>
      </c>
      <c r="DR8" s="261" t="s">
        <v>186</v>
      </c>
      <c r="DS8" s="261"/>
      <c r="DT8" s="261"/>
      <c r="DU8" s="261"/>
      <c r="DV8" s="261"/>
      <c r="DW8" s="261"/>
      <c r="DX8" s="261"/>
      <c r="DY8" s="261"/>
      <c r="DZ8" s="261"/>
      <c r="EA8" s="260" t="s">
        <v>188</v>
      </c>
      <c r="EB8" s="260" t="s">
        <v>190</v>
      </c>
      <c r="EC8" s="261" t="s">
        <v>191</v>
      </c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46" t="s">
        <v>254</v>
      </c>
      <c r="EZ8" s="246" t="s">
        <v>255</v>
      </c>
      <c r="FA8" s="260" t="s">
        <v>193</v>
      </c>
      <c r="FB8" s="261" t="s">
        <v>194</v>
      </c>
      <c r="FC8" s="261"/>
      <c r="FD8" s="261"/>
      <c r="FE8" s="261"/>
      <c r="FF8" s="261"/>
      <c r="FG8" s="261"/>
      <c r="FH8" s="261"/>
      <c r="FI8" s="260" t="s">
        <v>195</v>
      </c>
      <c r="FJ8" s="312" t="s">
        <v>247</v>
      </c>
      <c r="FK8" s="313"/>
      <c r="FL8" s="313"/>
      <c r="FM8" s="313"/>
      <c r="FN8" s="313"/>
      <c r="FO8" s="313"/>
      <c r="FP8" s="314"/>
      <c r="FQ8" s="246" t="s">
        <v>254</v>
      </c>
      <c r="FR8" s="246" t="s">
        <v>255</v>
      </c>
      <c r="FS8" s="258"/>
      <c r="FT8" s="258"/>
      <c r="FU8" s="39" t="s">
        <v>204</v>
      </c>
      <c r="FV8" s="262" t="s">
        <v>206</v>
      </c>
      <c r="FW8" s="262" t="s">
        <v>207</v>
      </c>
      <c r="FX8" s="262" t="s">
        <v>208</v>
      </c>
      <c r="FY8" s="262" t="s">
        <v>209</v>
      </c>
      <c r="FZ8" s="321" t="s">
        <v>254</v>
      </c>
      <c r="GA8" s="321" t="s">
        <v>255</v>
      </c>
      <c r="GB8" s="249" t="s">
        <v>218</v>
      </c>
      <c r="GC8" s="249" t="s">
        <v>219</v>
      </c>
      <c r="GD8" s="321" t="s">
        <v>254</v>
      </c>
      <c r="GE8" s="321" t="s">
        <v>255</v>
      </c>
    </row>
    <row r="9" spans="1:417" ht="109.5" customHeight="1" x14ac:dyDescent="0.2">
      <c r="A9" s="43" t="s">
        <v>0</v>
      </c>
      <c r="B9" s="277"/>
      <c r="C9" s="37" t="s">
        <v>151</v>
      </c>
      <c r="D9" s="37" t="s">
        <v>75</v>
      </c>
      <c r="E9" s="37" t="s">
        <v>1</v>
      </c>
      <c r="F9" s="37" t="s">
        <v>2</v>
      </c>
      <c r="G9" s="32" t="s">
        <v>3</v>
      </c>
      <c r="H9" s="37" t="s">
        <v>4</v>
      </c>
      <c r="I9" s="32" t="s">
        <v>256</v>
      </c>
      <c r="J9" s="32" t="s">
        <v>257</v>
      </c>
      <c r="K9" s="37" t="s">
        <v>38</v>
      </c>
      <c r="L9" s="37" t="s">
        <v>76</v>
      </c>
      <c r="M9" s="37" t="s">
        <v>77</v>
      </c>
      <c r="N9" s="37" t="s">
        <v>78</v>
      </c>
      <c r="O9" s="37" t="s">
        <v>79</v>
      </c>
      <c r="P9" s="37" t="s">
        <v>80</v>
      </c>
      <c r="Q9" s="37" t="s">
        <v>81</v>
      </c>
      <c r="R9" s="37" t="s">
        <v>82</v>
      </c>
      <c r="S9" s="37" t="s">
        <v>83</v>
      </c>
      <c r="T9" s="37" t="s">
        <v>84</v>
      </c>
      <c r="U9" s="37" t="s">
        <v>85</v>
      </c>
      <c r="V9" s="37" t="s">
        <v>86</v>
      </c>
      <c r="W9" s="37" t="s">
        <v>87</v>
      </c>
      <c r="X9" s="37" t="s">
        <v>88</v>
      </c>
      <c r="Y9" s="32" t="s">
        <v>89</v>
      </c>
      <c r="Z9" s="37" t="s">
        <v>90</v>
      </c>
      <c r="AA9" s="37" t="s">
        <v>91</v>
      </c>
      <c r="AB9" s="37" t="s">
        <v>92</v>
      </c>
      <c r="AC9" s="37" t="s">
        <v>93</v>
      </c>
      <c r="AD9" s="37" t="s">
        <v>94</v>
      </c>
      <c r="AE9" s="108" t="s">
        <v>256</v>
      </c>
      <c r="AF9" s="108" t="s">
        <v>257</v>
      </c>
      <c r="AG9" s="246"/>
      <c r="AH9" s="246"/>
      <c r="AI9" s="277"/>
      <c r="AJ9" s="273"/>
      <c r="AK9" s="274"/>
      <c r="AL9" s="273"/>
      <c r="AM9" s="274"/>
      <c r="AN9" s="280" t="s">
        <v>95</v>
      </c>
      <c r="AO9" s="281"/>
      <c r="AP9" s="37" t="s">
        <v>96</v>
      </c>
      <c r="AQ9" s="37" t="s">
        <v>97</v>
      </c>
      <c r="AR9" s="32" t="s">
        <v>98</v>
      </c>
      <c r="AS9" s="37" t="s">
        <v>99</v>
      </c>
      <c r="AT9" s="37" t="s">
        <v>100</v>
      </c>
      <c r="AU9" s="37" t="s">
        <v>101</v>
      </c>
      <c r="AV9" s="37" t="s">
        <v>102</v>
      </c>
      <c r="AW9" s="32" t="s">
        <v>256</v>
      </c>
      <c r="AX9" s="32" t="s">
        <v>257</v>
      </c>
      <c r="AY9" s="280" t="s">
        <v>103</v>
      </c>
      <c r="AZ9" s="281"/>
      <c r="BA9" s="32" t="s">
        <v>104</v>
      </c>
      <c r="BB9" s="280" t="s">
        <v>105</v>
      </c>
      <c r="BC9" s="281"/>
      <c r="BD9" s="280" t="s">
        <v>106</v>
      </c>
      <c r="BE9" s="281"/>
      <c r="BF9" s="280" t="s">
        <v>107</v>
      </c>
      <c r="BG9" s="281"/>
      <c r="BH9" s="37" t="s">
        <v>108</v>
      </c>
      <c r="BI9" s="32" t="s">
        <v>256</v>
      </c>
      <c r="BJ9" s="32" t="s">
        <v>257</v>
      </c>
      <c r="BK9" s="246"/>
      <c r="BL9" s="246"/>
      <c r="BM9" s="276"/>
      <c r="BN9" s="276"/>
      <c r="BO9" s="260"/>
      <c r="BP9" s="260"/>
      <c r="BQ9" s="260"/>
      <c r="BR9" s="246"/>
      <c r="BS9" s="246"/>
      <c r="BT9" s="31" t="s">
        <v>5</v>
      </c>
      <c r="BU9" s="31" t="s">
        <v>6</v>
      </c>
      <c r="BV9" s="32" t="s">
        <v>7</v>
      </c>
      <c r="BW9" s="31" t="s">
        <v>8</v>
      </c>
      <c r="BX9" s="31" t="s">
        <v>9</v>
      </c>
      <c r="BY9" s="31" t="s">
        <v>10</v>
      </c>
      <c r="BZ9" s="31" t="s">
        <v>11</v>
      </c>
      <c r="CA9" s="31" t="s">
        <v>12</v>
      </c>
      <c r="CB9" s="31" t="s">
        <v>13</v>
      </c>
      <c r="CC9" s="33" t="s">
        <v>14</v>
      </c>
      <c r="CD9" s="32" t="s">
        <v>256</v>
      </c>
      <c r="CE9" s="32" t="s">
        <v>257</v>
      </c>
      <c r="CF9" s="31" t="s">
        <v>15</v>
      </c>
      <c r="CG9" s="31" t="s">
        <v>16</v>
      </c>
      <c r="CH9" s="31" t="s">
        <v>17</v>
      </c>
      <c r="CI9" s="31" t="s">
        <v>18</v>
      </c>
      <c r="CJ9" s="31" t="s">
        <v>19</v>
      </c>
      <c r="CK9" s="31" t="s">
        <v>20</v>
      </c>
      <c r="CL9" s="32" t="s">
        <v>21</v>
      </c>
      <c r="CM9" s="31" t="s">
        <v>22</v>
      </c>
      <c r="CN9" s="31" t="s">
        <v>23</v>
      </c>
      <c r="CO9" s="31" t="s">
        <v>24</v>
      </c>
      <c r="CP9" s="32" t="s">
        <v>256</v>
      </c>
      <c r="CQ9" s="32" t="s">
        <v>257</v>
      </c>
      <c r="CR9" s="31" t="s">
        <v>25</v>
      </c>
      <c r="CS9" s="32" t="s">
        <v>26</v>
      </c>
      <c r="CT9" s="31" t="s">
        <v>27</v>
      </c>
      <c r="CU9" s="31" t="s">
        <v>28</v>
      </c>
      <c r="CV9" s="31" t="s">
        <v>29</v>
      </c>
      <c r="CW9" s="31" t="s">
        <v>30</v>
      </c>
      <c r="CX9" s="31" t="s">
        <v>109</v>
      </c>
      <c r="CY9" s="31" t="s">
        <v>110</v>
      </c>
      <c r="CZ9" s="31" t="s">
        <v>111</v>
      </c>
      <c r="DA9" s="31" t="s">
        <v>112</v>
      </c>
      <c r="DB9" s="32" t="s">
        <v>256</v>
      </c>
      <c r="DC9" s="32" t="s">
        <v>257</v>
      </c>
      <c r="DD9" s="246"/>
      <c r="DE9" s="246"/>
      <c r="DF9" s="260"/>
      <c r="DG9" s="31" t="s">
        <v>153</v>
      </c>
      <c r="DH9" s="31" t="s">
        <v>243</v>
      </c>
      <c r="DI9" s="31" t="s">
        <v>244</v>
      </c>
      <c r="DJ9" s="31" t="s">
        <v>245</v>
      </c>
      <c r="DK9" s="31" t="s">
        <v>246</v>
      </c>
      <c r="DL9" s="32" t="s">
        <v>256</v>
      </c>
      <c r="DM9" s="32" t="s">
        <v>257</v>
      </c>
      <c r="DN9" s="260"/>
      <c r="DO9" s="260"/>
      <c r="DP9" s="246"/>
      <c r="DQ9" s="246"/>
      <c r="DR9" s="31" t="s">
        <v>31</v>
      </c>
      <c r="DS9" s="31" t="s">
        <v>32</v>
      </c>
      <c r="DT9" s="31" t="s">
        <v>33</v>
      </c>
      <c r="DU9" s="31" t="s">
        <v>34</v>
      </c>
      <c r="DV9" s="31" t="s">
        <v>35</v>
      </c>
      <c r="DW9" s="31" t="s">
        <v>36</v>
      </c>
      <c r="DX9" s="31" t="s">
        <v>37</v>
      </c>
      <c r="DY9" s="32" t="s">
        <v>256</v>
      </c>
      <c r="DZ9" s="32" t="s">
        <v>257</v>
      </c>
      <c r="EA9" s="260"/>
      <c r="EB9" s="260"/>
      <c r="EC9" s="31" t="s">
        <v>38</v>
      </c>
      <c r="ED9" s="31" t="s">
        <v>39</v>
      </c>
      <c r="EE9" s="31" t="s">
        <v>40</v>
      </c>
      <c r="EF9" s="31" t="s">
        <v>41</v>
      </c>
      <c r="EG9" s="31" t="s">
        <v>42</v>
      </c>
      <c r="EH9" s="31" t="s">
        <v>43</v>
      </c>
      <c r="EI9" s="31" t="s">
        <v>44</v>
      </c>
      <c r="EJ9" s="31" t="s">
        <v>45</v>
      </c>
      <c r="EK9" s="31" t="s">
        <v>46</v>
      </c>
      <c r="EL9" s="31" t="s">
        <v>47</v>
      </c>
      <c r="EM9" s="31" t="s">
        <v>48</v>
      </c>
      <c r="EN9" s="31" t="s">
        <v>49</v>
      </c>
      <c r="EO9" s="31" t="s">
        <v>50</v>
      </c>
      <c r="EP9" s="31" t="s">
        <v>51</v>
      </c>
      <c r="EQ9" s="31" t="s">
        <v>52</v>
      </c>
      <c r="ER9" s="31" t="s">
        <v>53</v>
      </c>
      <c r="ES9" s="31" t="s">
        <v>54</v>
      </c>
      <c r="ET9" s="31" t="s">
        <v>55</v>
      </c>
      <c r="EU9" s="31" t="s">
        <v>56</v>
      </c>
      <c r="EV9" s="31" t="s">
        <v>57</v>
      </c>
      <c r="EW9" s="32" t="s">
        <v>256</v>
      </c>
      <c r="EX9" s="32" t="s">
        <v>257</v>
      </c>
      <c r="EY9" s="246"/>
      <c r="EZ9" s="246"/>
      <c r="FA9" s="260"/>
      <c r="FB9" s="31" t="s">
        <v>58</v>
      </c>
      <c r="FC9" s="31" t="s">
        <v>59</v>
      </c>
      <c r="FD9" s="31" t="s">
        <v>60</v>
      </c>
      <c r="FE9" s="31" t="s">
        <v>61</v>
      </c>
      <c r="FF9" s="31" t="s">
        <v>62</v>
      </c>
      <c r="FG9" s="32" t="s">
        <v>256</v>
      </c>
      <c r="FH9" s="32" t="s">
        <v>257</v>
      </c>
      <c r="FI9" s="260"/>
      <c r="FJ9" s="31" t="s">
        <v>58</v>
      </c>
      <c r="FK9" s="31" t="s">
        <v>59</v>
      </c>
      <c r="FL9" s="31" t="s">
        <v>60</v>
      </c>
      <c r="FM9" s="31" t="s">
        <v>61</v>
      </c>
      <c r="FN9" s="31" t="s">
        <v>62</v>
      </c>
      <c r="FO9" s="32" t="s">
        <v>256</v>
      </c>
      <c r="FP9" s="32" t="s">
        <v>257</v>
      </c>
      <c r="FQ9" s="246"/>
      <c r="FR9" s="246"/>
      <c r="FS9" s="258"/>
      <c r="FT9" s="258"/>
      <c r="FU9" s="39" t="s">
        <v>151</v>
      </c>
      <c r="FV9" s="262"/>
      <c r="FW9" s="262"/>
      <c r="FX9" s="262"/>
      <c r="FY9" s="262"/>
      <c r="FZ9" s="321"/>
      <c r="GA9" s="321"/>
      <c r="GB9" s="249"/>
      <c r="GC9" s="249"/>
      <c r="GD9" s="321"/>
      <c r="GE9" s="321"/>
    </row>
    <row r="10" spans="1:417" x14ac:dyDescent="0.2">
      <c r="A10" s="133"/>
      <c r="B10" s="134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4"/>
      <c r="AF10" s="134"/>
      <c r="AG10" s="134"/>
      <c r="AH10" s="134"/>
      <c r="AI10" s="134"/>
      <c r="AJ10" s="134"/>
      <c r="AK10" s="134" t="s">
        <v>293</v>
      </c>
      <c r="AL10" s="134"/>
      <c r="AM10" s="134" t="s">
        <v>293</v>
      </c>
      <c r="AN10" s="133"/>
      <c r="AO10" s="133" t="s">
        <v>293</v>
      </c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 t="s">
        <v>293</v>
      </c>
      <c r="BA10" s="133"/>
      <c r="BB10" s="133"/>
      <c r="BC10" s="133" t="s">
        <v>293</v>
      </c>
      <c r="BD10" s="133"/>
      <c r="BE10" s="133" t="s">
        <v>293</v>
      </c>
      <c r="BF10" s="133"/>
      <c r="BG10" s="133" t="s">
        <v>293</v>
      </c>
      <c r="BH10" s="133"/>
      <c r="BI10" s="133"/>
      <c r="BJ10" s="133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3"/>
      <c r="BW10" s="133"/>
      <c r="BX10" s="133"/>
      <c r="BY10" s="133"/>
      <c r="BZ10" s="133"/>
      <c r="CA10" s="133"/>
      <c r="CB10" s="133"/>
      <c r="CC10" s="212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4"/>
      <c r="DE10" s="134"/>
      <c r="DF10" s="134"/>
      <c r="DG10" s="133"/>
      <c r="DH10" s="133"/>
      <c r="DI10" s="133"/>
      <c r="DJ10" s="133"/>
      <c r="DK10" s="133"/>
      <c r="DL10" s="133"/>
      <c r="DM10" s="133"/>
      <c r="DN10" s="134"/>
      <c r="DO10" s="134"/>
      <c r="DP10" s="134"/>
      <c r="DQ10" s="134"/>
      <c r="DR10" s="133"/>
      <c r="DS10" s="133"/>
      <c r="DT10" s="133"/>
      <c r="DU10" s="133"/>
      <c r="DV10" s="133"/>
      <c r="DW10" s="133"/>
      <c r="DX10" s="133"/>
      <c r="DY10" s="133"/>
      <c r="DZ10" s="133"/>
      <c r="EA10" s="134"/>
      <c r="EB10" s="134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4"/>
      <c r="EZ10" s="134"/>
      <c r="FA10" s="134"/>
      <c r="FB10" s="133"/>
      <c r="FC10" s="133"/>
      <c r="FD10" s="133"/>
      <c r="FE10" s="133"/>
      <c r="FF10" s="133"/>
      <c r="FG10" s="133"/>
      <c r="FH10" s="133"/>
      <c r="FI10" s="134"/>
      <c r="FJ10" s="133"/>
      <c r="FK10" s="133"/>
      <c r="FL10" s="133"/>
      <c r="FM10" s="133"/>
      <c r="FN10" s="133"/>
      <c r="FO10" s="133"/>
      <c r="FP10" s="133"/>
      <c r="FQ10" s="134"/>
      <c r="FR10" s="134"/>
      <c r="FS10" s="134"/>
      <c r="FT10" s="134"/>
      <c r="FU10" s="133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</row>
    <row r="11" spans="1:417" s="2" customFormat="1" x14ac:dyDescent="0.2">
      <c r="A11" s="7" t="s">
        <v>74</v>
      </c>
      <c r="B11" s="121">
        <v>0.12139999999999999</v>
      </c>
      <c r="C11" s="122">
        <v>1.7600000000000001E-2</v>
      </c>
      <c r="D11" s="125">
        <f>13732/25795</f>
        <v>0.53235123085869351</v>
      </c>
      <c r="E11" s="125">
        <v>0.30599999999999999</v>
      </c>
      <c r="F11" s="125">
        <v>0.114</v>
      </c>
      <c r="G11" s="125">
        <v>0.70399999999999996</v>
      </c>
      <c r="H11" s="125">
        <v>4.9000000000000002E-2</v>
      </c>
      <c r="I11" s="125">
        <f>+AVERAGE(D11:H11)</f>
        <v>0.34107024617173864</v>
      </c>
      <c r="J11" s="125">
        <f>+GEOMEAN(D11:H11)</f>
        <v>0.2297834024865861</v>
      </c>
      <c r="K11" s="125">
        <v>0.159</v>
      </c>
      <c r="L11" s="125">
        <v>7.2999999999999995E-2</v>
      </c>
      <c r="M11" s="125">
        <v>0.32600000000000001</v>
      </c>
      <c r="N11" s="125">
        <v>0.314</v>
      </c>
      <c r="O11" s="125">
        <v>0.23699999999999999</v>
      </c>
      <c r="P11" s="125">
        <v>0.14899999999999999</v>
      </c>
      <c r="Q11" s="125">
        <v>5.1999999999999998E-2</v>
      </c>
      <c r="R11" s="125">
        <v>9.9000000000000005E-2</v>
      </c>
      <c r="S11" s="125">
        <v>0.39900000000000002</v>
      </c>
      <c r="T11" s="125">
        <v>0.22</v>
      </c>
      <c r="U11" s="125">
        <v>0.23699999999999999</v>
      </c>
      <c r="V11" s="125">
        <v>0.33600000000000002</v>
      </c>
      <c r="W11" s="125">
        <v>0.113</v>
      </c>
      <c r="X11" s="125">
        <v>0.10100000000000001</v>
      </c>
      <c r="Y11" s="125">
        <v>0.54800000000000004</v>
      </c>
      <c r="Z11" s="125">
        <v>0.18099999999999999</v>
      </c>
      <c r="AA11" s="125">
        <v>8.7999999999999995E-2</v>
      </c>
      <c r="AB11" s="125">
        <v>0.11600000000000001</v>
      </c>
      <c r="AC11" s="125">
        <v>5.5E-2</v>
      </c>
      <c r="AD11" s="125">
        <v>8.8999999999999996E-2</v>
      </c>
      <c r="AE11" s="125">
        <f>+AVERAGE(K11:AD11)</f>
        <v>0.19460000000000002</v>
      </c>
      <c r="AF11" s="125">
        <f>+GEOMEAN(K11:AD11)</f>
        <v>0.15724389562227437</v>
      </c>
      <c r="AG11" s="125">
        <f>+AVERAGE(I9,AE11)</f>
        <v>0.19460000000000002</v>
      </c>
      <c r="AH11" s="125">
        <f>+GEOMEAN(J11,AF11)</f>
        <v>0.1900842901355391</v>
      </c>
      <c r="AI11" s="125">
        <v>0.16600000000000001</v>
      </c>
      <c r="AJ11" s="125">
        <v>5.1999999999999998E-2</v>
      </c>
      <c r="AK11" s="125">
        <f>1-AJ11</f>
        <v>0.94799999999999995</v>
      </c>
      <c r="AL11" s="126">
        <v>0.28799999999999998</v>
      </c>
      <c r="AM11" s="126">
        <f>1-AL11</f>
        <v>0.71199999999999997</v>
      </c>
      <c r="AN11" s="126">
        <v>7.8E-2</v>
      </c>
      <c r="AO11" s="126">
        <f>1-AN11</f>
        <v>0.92200000000000004</v>
      </c>
      <c r="AP11" s="126">
        <v>0.35699999999999998</v>
      </c>
      <c r="AQ11" s="126">
        <v>0.379</v>
      </c>
      <c r="AR11" s="126">
        <v>0.40799999999999997</v>
      </c>
      <c r="AS11" s="126">
        <v>0.41</v>
      </c>
      <c r="AT11" s="126">
        <v>0.19500000000000001</v>
      </c>
      <c r="AU11" s="126">
        <v>0.24199999999999999</v>
      </c>
      <c r="AV11" s="126">
        <v>0.33299999999999996</v>
      </c>
      <c r="AW11" s="125">
        <f>+AVERAGE(AO11:AV11)</f>
        <v>0.40574999999999994</v>
      </c>
      <c r="AX11" s="125">
        <f>+GEOMEAN(AO11:AV11)</f>
        <v>0.36683610389082477</v>
      </c>
      <c r="AY11" s="126">
        <v>0.17</v>
      </c>
      <c r="AZ11" s="126">
        <f>1-AY11</f>
        <v>0.83</v>
      </c>
      <c r="BA11" s="126">
        <v>0.54300000000000004</v>
      </c>
      <c r="BB11" s="126">
        <v>0.10299999999999999</v>
      </c>
      <c r="BC11" s="126">
        <f>1-BB11</f>
        <v>0.89700000000000002</v>
      </c>
      <c r="BD11" s="126">
        <v>4.2000000000000003E-2</v>
      </c>
      <c r="BE11" s="126">
        <f>1-BD11</f>
        <v>0.95799999999999996</v>
      </c>
      <c r="BF11" s="126">
        <v>6.9000000000000006E-2</v>
      </c>
      <c r="BG11" s="126">
        <f>1-BF11</f>
        <v>0.93100000000000005</v>
      </c>
      <c r="BH11" s="126">
        <v>0.121</v>
      </c>
      <c r="BI11" s="125">
        <f>+AVERAGE(AZ11,BA11,BC11,BE11,BG11,BH11)</f>
        <v>0.71333333333333326</v>
      </c>
      <c r="BJ11" s="125">
        <f>+GEOMEAN(AZ11,BA11,BC11,BE11,BG11,BH11)</f>
        <v>0.59332842410572362</v>
      </c>
      <c r="BK11" s="125">
        <f>+AVERAGE(AI11,AK11,AM11,AW11,BI11)</f>
        <v>0.58901666666666663</v>
      </c>
      <c r="BL11" s="125">
        <f>+GEOMEAN(AI11,AK11,AM11,AX11,BJ11)</f>
        <v>0.47580908388775778</v>
      </c>
      <c r="BM11" s="125">
        <f>+AVERAGE(B11:C11,AG11,BK11)</f>
        <v>0.23065416666666666</v>
      </c>
      <c r="BN11" s="125">
        <f>+GEOMEAN(B11:C11,AH11,BL11)</f>
        <v>0.11790373884747472</v>
      </c>
      <c r="BO11" s="126">
        <v>0.58140000000000003</v>
      </c>
      <c r="BP11" s="126">
        <v>0.65500000000000003</v>
      </c>
      <c r="BQ11" s="126">
        <v>0.152</v>
      </c>
      <c r="BR11" s="126">
        <f>+AVERAGE(BO11:BQ11)</f>
        <v>0.46280000000000004</v>
      </c>
      <c r="BS11" s="126">
        <f>+GEOMEAN(BO11:BQ11)</f>
        <v>0.38682984327003694</v>
      </c>
      <c r="BT11" s="128">
        <v>0.65920000000000001</v>
      </c>
      <c r="BU11" s="128">
        <v>0.66359999999999997</v>
      </c>
      <c r="BV11" s="128">
        <v>0.75370000000000004</v>
      </c>
      <c r="BW11" s="128">
        <v>9.74E-2</v>
      </c>
      <c r="BX11" s="128">
        <v>9.7900000000000001E-2</v>
      </c>
      <c r="BY11" s="128">
        <v>0.40360000000000001</v>
      </c>
      <c r="BZ11" s="128">
        <v>8.2199999999999995E-2</v>
      </c>
      <c r="CA11" s="128">
        <v>0.40760000000000002</v>
      </c>
      <c r="CB11" s="128">
        <v>0.16900000000000001</v>
      </c>
      <c r="CC11" s="128">
        <v>4.7999999999999996E-3</v>
      </c>
      <c r="CD11" s="128">
        <f>+AVERAGE(BT11:CC11)</f>
        <v>0.33389999999999997</v>
      </c>
      <c r="CE11" s="128">
        <f>+GEOMEAN(BT11:CC11)</f>
        <v>0.17937622634683595</v>
      </c>
      <c r="CF11" s="124">
        <v>0.13441688267874041</v>
      </c>
      <c r="CG11" s="124">
        <v>8.729706494804694E-2</v>
      </c>
      <c r="CH11" s="124">
        <v>4.9281715148899036E-2</v>
      </c>
      <c r="CI11" s="124">
        <v>0.19755212006852696</v>
      </c>
      <c r="CJ11" s="124">
        <v>0.87307370177984733</v>
      </c>
      <c r="CK11" s="124">
        <v>0.47646455415982486</v>
      </c>
      <c r="CL11" s="124">
        <v>0.87507889951896645</v>
      </c>
      <c r="CM11" s="124">
        <v>0.29116573967980458</v>
      </c>
      <c r="CN11" s="124">
        <v>0.33806055295078197</v>
      </c>
      <c r="CO11" s="124">
        <v>3.6537728985069066E-2</v>
      </c>
      <c r="CP11" s="124">
        <f>+AVERAGE(CF11:CO11)</f>
        <v>0.33589289599185079</v>
      </c>
      <c r="CQ11" s="124">
        <f>+GEOMEAN(CF11:CO11)</f>
        <v>0.20772205031736576</v>
      </c>
      <c r="CR11" s="125">
        <v>0.79666531278137787</v>
      </c>
      <c r="CS11" s="125">
        <v>0.92786268998121135</v>
      </c>
      <c r="CT11" s="125">
        <v>0.71799999999999997</v>
      </c>
      <c r="CU11" s="125">
        <v>0.5836752151048098</v>
      </c>
      <c r="CV11" s="125">
        <v>0.62083788862776712</v>
      </c>
      <c r="CW11" s="125">
        <v>0.73291874161894877</v>
      </c>
      <c r="CX11" s="125">
        <v>0.36599999999999999</v>
      </c>
      <c r="CY11" s="125">
        <v>0.65900000000000003</v>
      </c>
      <c r="CZ11" s="125">
        <v>0.67100000000000004</v>
      </c>
      <c r="DA11" s="125">
        <v>0.35</v>
      </c>
      <c r="DB11" s="125">
        <f>+AVERAGE(CR11:DA11)</f>
        <v>0.64259598481141145</v>
      </c>
      <c r="DC11" s="125">
        <f>+GEOMEAN(CR11:DA11)</f>
        <v>0.61691402282363417</v>
      </c>
      <c r="DD11" s="125">
        <f>+AVERAGE(CP11,DB11)</f>
        <v>0.48924444040163112</v>
      </c>
      <c r="DE11" s="125">
        <f>+GEOMEAN(CQ11,DC11)</f>
        <v>0.35797576131696329</v>
      </c>
      <c r="DF11" s="125">
        <v>0.38100000000000001</v>
      </c>
      <c r="DG11" s="129">
        <v>0.58507394578000871</v>
      </c>
      <c r="DH11" s="123">
        <v>0.71556283835639167</v>
      </c>
      <c r="DI11" s="123">
        <v>0.18211611457966023</v>
      </c>
      <c r="DJ11" s="123">
        <v>0.13552923606645786</v>
      </c>
      <c r="DK11" s="123">
        <v>6.0753769886540417E-2</v>
      </c>
      <c r="DL11" s="123">
        <f>+AVERAGE(DG11:DK11)</f>
        <v>0.33580718093381179</v>
      </c>
      <c r="DM11" s="123">
        <f>+GEOMEAN(DG11:DK11)</f>
        <v>0.22885617077550377</v>
      </c>
      <c r="DN11" s="123">
        <v>0.4904</v>
      </c>
      <c r="DO11" s="129">
        <v>0.39</v>
      </c>
      <c r="DP11" s="129">
        <f>+AVERAGE(DL11,DN11:DO11)</f>
        <v>0.4054023936446039</v>
      </c>
      <c r="DQ11" s="129">
        <f>+GEOMEAN(DM11,DN11:DO11)</f>
        <v>0.35241893291381693</v>
      </c>
      <c r="DR11" s="129">
        <v>0.81179999999999997</v>
      </c>
      <c r="DS11" s="129">
        <v>0.76400000000000001</v>
      </c>
      <c r="DT11" s="129">
        <v>0.75890000000000002</v>
      </c>
      <c r="DU11" s="129">
        <v>0.61550000000000005</v>
      </c>
      <c r="DV11" s="129">
        <v>0.54820000000000002</v>
      </c>
      <c r="DW11" s="129">
        <v>0.58650000000000002</v>
      </c>
      <c r="DX11" s="129">
        <v>0.6583</v>
      </c>
      <c r="DY11" s="129">
        <f>+AVERAGE(DR11:DX11)</f>
        <v>0.67759999999999998</v>
      </c>
      <c r="DZ11" s="129">
        <f>+GEOMEAN(DR11:DX11)</f>
        <v>0.67111661107071519</v>
      </c>
      <c r="EA11" s="129">
        <v>4.07E-2</v>
      </c>
      <c r="EB11" s="128">
        <v>9.74E-2</v>
      </c>
      <c r="EC11" s="214">
        <v>0.24009025624597347</v>
      </c>
      <c r="ED11" s="215">
        <v>0.26153795156961451</v>
      </c>
      <c r="EE11" s="214">
        <v>0.34510783379575644</v>
      </c>
      <c r="EF11" s="214">
        <v>0.29615467002575907</v>
      </c>
      <c r="EG11" s="214">
        <v>0.24092362084892521</v>
      </c>
      <c r="EH11" s="124">
        <v>0.2613758214009072</v>
      </c>
      <c r="EI11" s="124">
        <v>0.21224662690756571</v>
      </c>
      <c r="EJ11" s="124">
        <v>0.28232328310628424</v>
      </c>
      <c r="EK11" s="124">
        <v>0.25151817743953181</v>
      </c>
      <c r="EL11" s="124">
        <v>0.22753371683676615</v>
      </c>
      <c r="EM11" s="124">
        <v>0.24025338005188701</v>
      </c>
      <c r="EN11" s="124">
        <v>0.25227177196445821</v>
      </c>
      <c r="EO11" s="124">
        <v>0.2380688006525534</v>
      </c>
      <c r="EP11" s="124">
        <v>0.29893425609785224</v>
      </c>
      <c r="EQ11" s="124">
        <v>0.35502463142601975</v>
      </c>
      <c r="ER11" s="124">
        <v>0.27597622294200019</v>
      </c>
      <c r="ES11" s="124">
        <v>0.20726651377968439</v>
      </c>
      <c r="ET11" s="124">
        <v>0.24652342098078817</v>
      </c>
      <c r="EU11" s="124">
        <v>0.21846487664928535</v>
      </c>
      <c r="EV11" s="124">
        <v>0.22143447388944845</v>
      </c>
      <c r="EW11" s="124">
        <f>+AVERAGE(EC11:EV11)</f>
        <v>0.25865151533055297</v>
      </c>
      <c r="EX11" s="124">
        <f>+GEOMEAN(EC11:EV11)</f>
        <v>0.25587893684834989</v>
      </c>
      <c r="EY11" s="124">
        <f>+AVERAGE(EB11,EW11)</f>
        <v>0.17802575766527648</v>
      </c>
      <c r="EZ11" s="124">
        <f>+GEOMEAN(EB11,EX11)</f>
        <v>0.15786895973885834</v>
      </c>
      <c r="FA11" s="130">
        <v>0.30299999999999999</v>
      </c>
      <c r="FB11" s="218">
        <v>0.6831199749562118</v>
      </c>
      <c r="FC11" s="218">
        <v>0.38753690379377426</v>
      </c>
      <c r="FD11" s="218">
        <v>0.54422688562205501</v>
      </c>
      <c r="FE11" s="218">
        <v>0.57160971463158228</v>
      </c>
      <c r="FF11" s="218">
        <v>0.42131495619721454</v>
      </c>
      <c r="FG11" s="130">
        <f>+AVERAGE(FB11:FF11)</f>
        <v>0.52156168704016759</v>
      </c>
      <c r="FH11" s="130">
        <f>+GEOMEAN(FB11:FF11)</f>
        <v>0.51057471547989008</v>
      </c>
      <c r="FI11" s="130">
        <v>0.35349999999999998</v>
      </c>
      <c r="FJ11" s="126">
        <v>0.71855770779012351</v>
      </c>
      <c r="FK11" s="126">
        <v>0.480529724933487</v>
      </c>
      <c r="FL11" s="126">
        <v>0.64245565416788697</v>
      </c>
      <c r="FM11" s="126">
        <v>0.45620481723722028</v>
      </c>
      <c r="FN11" s="126">
        <v>0.40600108959978276</v>
      </c>
      <c r="FO11" s="130">
        <f>+AVERAGE(FJ11:FN11)</f>
        <v>0.54074979874570006</v>
      </c>
      <c r="FP11" s="130">
        <f>+GEOMEAN(FJ11:FN11)</f>
        <v>0.52813193158388916</v>
      </c>
      <c r="FQ11" s="130">
        <f>+AVERAGE(FA11,FG11,FI11,FO11)</f>
        <v>0.42970287144646691</v>
      </c>
      <c r="FR11" s="130">
        <f>+GEOMEAN(FA11,FH11,FI11,FP11)</f>
        <v>0.41224789261985162</v>
      </c>
      <c r="FS11" s="130">
        <f>+AVERAGE(BR11,CD11,DD11,DF11,DP11,DY11,EA11,EY11,FQ11)</f>
        <v>0.37759727368421986</v>
      </c>
      <c r="FT11" s="130">
        <f>+AVERAGE(BS11,CE11,DE11,DF11,DQ11,DZ11,EA11,EZ11,FR11)</f>
        <v>0.32661491414189764</v>
      </c>
      <c r="FU11" s="126">
        <v>0.23427054640927472</v>
      </c>
      <c r="FV11" s="131">
        <v>0.378</v>
      </c>
      <c r="FW11" s="131">
        <v>0.16600000000000001</v>
      </c>
      <c r="FX11" s="131">
        <v>4.1799999999999997E-2</v>
      </c>
      <c r="FY11" s="131">
        <v>0.28399999999999997</v>
      </c>
      <c r="FZ11" s="131">
        <f>+AVERAGE(FU11:FY11)</f>
        <v>0.22081410928185491</v>
      </c>
      <c r="GA11" s="131">
        <f>+GEOMEAN(FU11:FY11)</f>
        <v>0.17715868176174457</v>
      </c>
      <c r="GB11" s="132">
        <v>0.06</v>
      </c>
      <c r="GC11" s="132">
        <v>7.8799999999999995E-2</v>
      </c>
      <c r="GD11" s="123">
        <f>+AVERAGE(GB11:GC11)</f>
        <v>6.9399999999999989E-2</v>
      </c>
      <c r="GE11" s="123">
        <f>+GEOMEAN(GB11:GC11)</f>
        <v>6.8760453750684333E-2</v>
      </c>
    </row>
    <row r="12" spans="1:417" x14ac:dyDescent="0.2">
      <c r="A12" s="8" t="s">
        <v>71</v>
      </c>
      <c r="B12" s="122">
        <v>0.2162</v>
      </c>
      <c r="C12" s="122">
        <v>6.0999999999999999E-2</v>
      </c>
      <c r="D12" s="125">
        <v>0.55800000000000005</v>
      </c>
      <c r="E12" s="125">
        <v>0.38500000000000001</v>
      </c>
      <c r="F12" s="125">
        <v>0.17599999999999999</v>
      </c>
      <c r="G12" s="125">
        <v>0.79400000000000004</v>
      </c>
      <c r="H12" s="125">
        <v>9.9000000000000005E-2</v>
      </c>
      <c r="I12" s="125">
        <f>+AVERAGE(D12:H12)</f>
        <v>0.40239999999999998</v>
      </c>
      <c r="J12" s="125">
        <f t="shared" ref="J12:J19" si="0">+GEOMEAN(D12:H12)</f>
        <v>0.31232925024118602</v>
      </c>
      <c r="K12" s="125">
        <v>0.247</v>
      </c>
      <c r="L12" s="125">
        <v>9.7000000000000003E-2</v>
      </c>
      <c r="M12" s="125">
        <v>0.39200000000000002</v>
      </c>
      <c r="N12" s="125">
        <v>0.35499999999999998</v>
      </c>
      <c r="O12" s="125">
        <v>0.316</v>
      </c>
      <c r="P12" s="125">
        <v>0.188</v>
      </c>
      <c r="Q12" s="125">
        <v>7.6999999999999999E-2</v>
      </c>
      <c r="R12" s="125">
        <v>0.13500000000000001</v>
      </c>
      <c r="S12" s="125">
        <v>0.50700000000000001</v>
      </c>
      <c r="T12" s="125">
        <v>0.34200000000000003</v>
      </c>
      <c r="U12" s="125">
        <v>0.28599999999999998</v>
      </c>
      <c r="V12" s="125">
        <v>0.39600000000000002</v>
      </c>
      <c r="W12" s="125">
        <v>0.186</v>
      </c>
      <c r="X12" s="125">
        <v>0.155</v>
      </c>
      <c r="Y12" s="125">
        <v>0.625</v>
      </c>
      <c r="Z12" s="125">
        <v>0.20699999999999999</v>
      </c>
      <c r="AA12" s="125">
        <v>0.161</v>
      </c>
      <c r="AB12" s="125">
        <v>0.16500000000000001</v>
      </c>
      <c r="AC12" s="125">
        <v>7.4999999999999997E-2</v>
      </c>
      <c r="AD12" s="125">
        <v>0.13700000000000001</v>
      </c>
      <c r="AE12" s="125">
        <f t="shared" ref="AE12:AE19" si="1">+AVERAGE(K12:AD12)</f>
        <v>0.25244999999999995</v>
      </c>
      <c r="AF12" s="125">
        <f t="shared" ref="AF12:AF19" si="2">+GEOMEAN(K12:AD12)</f>
        <v>0.21415426285333375</v>
      </c>
      <c r="AG12" s="125">
        <f t="shared" ref="AG12:AG19" si="3">+AVERAGE(I11,AE12)</f>
        <v>0.2967601230858693</v>
      </c>
      <c r="AH12" s="125">
        <f t="shared" ref="AH12:AH19" si="4">+GEOMEAN(J12,AF12)</f>
        <v>0.25862451614828708</v>
      </c>
      <c r="AI12" s="125">
        <v>0.16300000000000001</v>
      </c>
      <c r="AJ12" s="125">
        <v>4.5999999999999999E-2</v>
      </c>
      <c r="AK12" s="125">
        <f t="shared" ref="AK12:AK19" si="5">1-AJ12</f>
        <v>0.95399999999999996</v>
      </c>
      <c r="AL12" s="126">
        <v>0.33400000000000002</v>
      </c>
      <c r="AM12" s="126">
        <f t="shared" ref="AM12:AM19" si="6">1-AL12</f>
        <v>0.66599999999999993</v>
      </c>
      <c r="AN12" s="126">
        <v>0.111</v>
      </c>
      <c r="AO12" s="126">
        <f t="shared" ref="AO12:AO19" si="7">1-AN12</f>
        <v>0.88900000000000001</v>
      </c>
      <c r="AP12" s="126">
        <v>0.41899999999999998</v>
      </c>
      <c r="AQ12" s="126">
        <v>0.438</v>
      </c>
      <c r="AR12" s="126">
        <v>0.502</v>
      </c>
      <c r="AS12" s="126">
        <v>0.497</v>
      </c>
      <c r="AT12" s="126">
        <v>0.27800000000000002</v>
      </c>
      <c r="AU12" s="126">
        <v>0.33</v>
      </c>
      <c r="AV12" s="126">
        <v>0.41</v>
      </c>
      <c r="AW12" s="125">
        <f t="shared" ref="AW12:AW19" si="8">+AVERAGE(AO12:AV12)</f>
        <v>0.47037500000000004</v>
      </c>
      <c r="AX12" s="125">
        <f t="shared" ref="AX12:AX19" si="9">+GEOMEAN(AO12:AV12)</f>
        <v>0.44475831284894679</v>
      </c>
      <c r="AY12" s="126">
        <v>0.20399999999999999</v>
      </c>
      <c r="AZ12" s="126">
        <f t="shared" ref="AZ12:AZ19" si="10">1-AY12</f>
        <v>0.79600000000000004</v>
      </c>
      <c r="BA12" s="126">
        <v>0.58299999999999996</v>
      </c>
      <c r="BB12" s="126">
        <v>0.123</v>
      </c>
      <c r="BC12" s="126">
        <f t="shared" ref="BC12:BC19" si="11">1-BB12</f>
        <v>0.877</v>
      </c>
      <c r="BD12" s="126">
        <v>6.0999999999999999E-2</v>
      </c>
      <c r="BE12" s="126">
        <f t="shared" ref="BE12:BE19" si="12">1-BD12</f>
        <v>0.93900000000000006</v>
      </c>
      <c r="BF12" s="126">
        <v>8.8999999999999996E-2</v>
      </c>
      <c r="BG12" s="126">
        <f t="shared" ref="BG12:BG19" si="13">1-BF12</f>
        <v>0.91100000000000003</v>
      </c>
      <c r="BH12" s="126">
        <v>0.152</v>
      </c>
      <c r="BI12" s="125">
        <f t="shared" ref="BI12:BI18" si="14">+AVERAGE(AZ12,BA12,BC12,BE12,BG12,BH12)</f>
        <v>0.70966666666666667</v>
      </c>
      <c r="BJ12" s="125">
        <f t="shared" ref="BJ12:BJ19" si="15">+GEOMEAN(AZ12,BA12,BC12,BE12,BG12,BH12)</f>
        <v>0.61272856713886559</v>
      </c>
      <c r="BK12" s="125">
        <f t="shared" ref="BK12:BK19" si="16">+AVERAGE(AI12,AK12,AM12,AW12,BI12)</f>
        <v>0.5926083333333334</v>
      </c>
      <c r="BL12" s="125">
        <f t="shared" ref="BL12:BL19" si="17">+GEOMEAN(AI12,AK12,AM12,AX12,BJ12)</f>
        <v>0.48991471296151601</v>
      </c>
      <c r="BM12" s="125">
        <f t="shared" ref="BM12:BM19" si="18">+AVERAGE(B12:C12,AG12,BK12)</f>
        <v>0.29164211410480068</v>
      </c>
      <c r="BN12" s="125">
        <f t="shared" ref="BN12:BN19" si="19">+GEOMEAN(B12:C12,AH12,BL12)</f>
        <v>0.20218266861424528</v>
      </c>
      <c r="BO12" s="126">
        <v>0.72899999999999998</v>
      </c>
      <c r="BP12" s="126">
        <v>0.75800000000000001</v>
      </c>
      <c r="BQ12" s="126">
        <v>0.23899999999999999</v>
      </c>
      <c r="BR12" s="126">
        <f t="shared" ref="BR12:BR19" si="20">+AVERAGE(BO12:BQ12)</f>
        <v>0.57533333333333336</v>
      </c>
      <c r="BS12" s="126">
        <f t="shared" ref="BS12:BS19" si="21">+GEOMEAN(BO12:BQ12)</f>
        <v>0.5092505948487871</v>
      </c>
      <c r="BT12" s="128">
        <v>0.83199999999999996</v>
      </c>
      <c r="BU12" s="128">
        <v>0.75800000000000001</v>
      </c>
      <c r="BV12" s="128">
        <v>0.78700000000000003</v>
      </c>
      <c r="BW12" s="128">
        <v>0.18099999999999999</v>
      </c>
      <c r="BX12" s="128">
        <v>0.2</v>
      </c>
      <c r="BY12" s="128">
        <v>0.42599999999999999</v>
      </c>
      <c r="BZ12" s="128">
        <v>0.17199999999999999</v>
      </c>
      <c r="CA12" s="128">
        <v>0.52</v>
      </c>
      <c r="CB12" s="128">
        <v>0.28399999999999997</v>
      </c>
      <c r="CC12" s="128">
        <v>4.0000000000000001E-3</v>
      </c>
      <c r="CD12" s="128">
        <f t="shared" ref="CD12:CD19" si="22">+AVERAGE(BT12:CC12)</f>
        <v>0.41639999999999999</v>
      </c>
      <c r="CE12" s="128">
        <f t="shared" ref="CE12:CE19" si="23">+GEOMEAN(BT12:CC12)</f>
        <v>0.24495119109158275</v>
      </c>
      <c r="CF12" s="128">
        <v>0.16800000000000001</v>
      </c>
      <c r="CG12" s="128">
        <v>8.3000000000000004E-2</v>
      </c>
      <c r="CH12" s="128">
        <v>7.9500000000000001E-2</v>
      </c>
      <c r="CI12" s="128">
        <v>0.22800000000000001</v>
      </c>
      <c r="CJ12" s="123">
        <v>0.89400000000000002</v>
      </c>
      <c r="CK12" s="128">
        <v>0.54200000000000004</v>
      </c>
      <c r="CL12" s="128">
        <v>0.86699999999999999</v>
      </c>
      <c r="CM12" s="128">
        <v>0.30199999999999999</v>
      </c>
      <c r="CN12" s="128">
        <v>0.35199999999999998</v>
      </c>
      <c r="CO12" s="128">
        <v>6.4000000000000001E-2</v>
      </c>
      <c r="CP12" s="124">
        <f t="shared" ref="CP12:CP19" si="24">+AVERAGE(CF12:CO12)</f>
        <v>0.35795000000000005</v>
      </c>
      <c r="CQ12" s="124">
        <f t="shared" ref="CQ12:CQ19" si="25">+GEOMEAN(CF12:CO12)</f>
        <v>0.24315179686186927</v>
      </c>
      <c r="CR12" s="125">
        <v>0.84766581521686735</v>
      </c>
      <c r="CS12" s="125">
        <v>0.94021051194936422</v>
      </c>
      <c r="CT12" s="125">
        <v>0.78667932902345217</v>
      </c>
      <c r="CU12" s="125">
        <v>0.6218952570190639</v>
      </c>
      <c r="CV12" s="125">
        <v>0.72259046937050608</v>
      </c>
      <c r="CW12" s="125">
        <v>0.72530219987830014</v>
      </c>
      <c r="CX12" s="125">
        <v>0.438</v>
      </c>
      <c r="CY12" s="125">
        <v>0.65600000000000003</v>
      </c>
      <c r="CZ12" s="125">
        <v>0.746</v>
      </c>
      <c r="DA12" s="125">
        <v>0.41499999999999998</v>
      </c>
      <c r="DB12" s="125">
        <f>+AVERAGE(CR12:DA12)</f>
        <v>0.68993435824575533</v>
      </c>
      <c r="DC12" s="125">
        <f t="shared" ref="DC12:DC18" si="26">+GEOMEAN(CR12:DA12)</f>
        <v>0.66981379126594798</v>
      </c>
      <c r="DD12" s="125">
        <f t="shared" ref="DD12:DD19" si="27">+AVERAGE(CP12,DB12)</f>
        <v>0.52394217912287766</v>
      </c>
      <c r="DE12" s="125">
        <f t="shared" ref="DE12:DE19" si="28">+GEOMEAN(CQ12,DC12)</f>
        <v>0.40356712813257756</v>
      </c>
      <c r="DF12" s="125">
        <v>0.42399999999999999</v>
      </c>
      <c r="DG12" s="123">
        <v>0.62622549019607843</v>
      </c>
      <c r="DH12" s="123">
        <v>0.56944444444444442</v>
      </c>
      <c r="DI12" s="123">
        <v>0.34640522875816993</v>
      </c>
      <c r="DJ12" s="123">
        <v>0.31045751633986929</v>
      </c>
      <c r="DK12" s="123">
        <v>6.0457516339869281E-2</v>
      </c>
      <c r="DL12" s="123">
        <f t="shared" ref="DL12:DL19" si="29">+AVERAGE(DG12:DK12)</f>
        <v>0.3825980392156863</v>
      </c>
      <c r="DM12" s="123">
        <f t="shared" ref="DM12:DM19" si="30">+GEOMEAN(DG12:DK12)</f>
        <v>0.29719657779500502</v>
      </c>
      <c r="DN12" s="123">
        <v>0.98660000000000003</v>
      </c>
      <c r="DO12" s="129">
        <v>0.98</v>
      </c>
      <c r="DP12" s="129">
        <f t="shared" ref="DP12:DP19" si="31">+AVERAGE(DL12,DN12:DO12)</f>
        <v>0.78306601307189538</v>
      </c>
      <c r="DQ12" s="129">
        <f t="shared" ref="DQ12:DQ19" si="32">+GEOMEAN(DM12,DN12:DO12)</f>
        <v>0.65988815121732691</v>
      </c>
      <c r="DR12" s="128">
        <v>0.84699999999999998</v>
      </c>
      <c r="DS12" s="128">
        <v>0.83</v>
      </c>
      <c r="DT12" s="128">
        <v>0.83399999999999996</v>
      </c>
      <c r="DU12" s="128">
        <v>0.69399999999999995</v>
      </c>
      <c r="DV12" s="128">
        <v>0.66</v>
      </c>
      <c r="DW12" s="128">
        <v>0.67800000000000005</v>
      </c>
      <c r="DX12" s="128">
        <v>0.73799999999999999</v>
      </c>
      <c r="DY12" s="129">
        <f t="shared" ref="DY12:DY18" si="33">+AVERAGE(DR12:DX12)</f>
        <v>0.75442857142857156</v>
      </c>
      <c r="DZ12" s="129">
        <f t="shared" ref="DZ12:DZ19" si="34">+GEOMEAN(DR12:DX12)</f>
        <v>0.75071286644516522</v>
      </c>
      <c r="EA12" s="129">
        <v>3.7999999999999999E-2</v>
      </c>
      <c r="EB12" s="128">
        <v>0.18099999999999999</v>
      </c>
      <c r="EC12" s="214">
        <v>0.30798496421929433</v>
      </c>
      <c r="ED12" s="214">
        <v>0.31749233897211709</v>
      </c>
      <c r="EE12" s="214">
        <v>0.44114457459915468</v>
      </c>
      <c r="EF12" s="214">
        <v>0.35796655628459795</v>
      </c>
      <c r="EG12" s="214">
        <v>0.28672300871106982</v>
      </c>
      <c r="EH12" s="214">
        <v>0.28605325924649666</v>
      </c>
      <c r="EI12" s="124">
        <v>0.27793282485129828</v>
      </c>
      <c r="EJ12" s="124">
        <v>0.36678579050855187</v>
      </c>
      <c r="EK12" s="124">
        <v>0.34262043794727398</v>
      </c>
      <c r="EL12" s="124">
        <v>0.28348940013198348</v>
      </c>
      <c r="EM12" s="124">
        <v>0.33244312058081477</v>
      </c>
      <c r="EN12" s="124">
        <v>0.32065747989623927</v>
      </c>
      <c r="EO12" s="124">
        <v>0.2359389956638803</v>
      </c>
      <c r="EP12" s="124">
        <v>0.36495048520705686</v>
      </c>
      <c r="EQ12" s="124">
        <v>0.40112051124811005</v>
      </c>
      <c r="ER12" s="124">
        <v>0.37181317051549301</v>
      </c>
      <c r="ES12" s="124">
        <v>0.20142262991649085</v>
      </c>
      <c r="ET12" s="124">
        <v>0.27495008350533545</v>
      </c>
      <c r="EU12" s="124">
        <v>0.27200777209332783</v>
      </c>
      <c r="EV12" s="124">
        <v>0.3366070190269348</v>
      </c>
      <c r="EW12" s="124">
        <f t="shared" ref="EW12:EW19" si="35">+AVERAGE(EC12:EV12)</f>
        <v>0.31900522115627605</v>
      </c>
      <c r="EX12" s="124">
        <f t="shared" ref="EX12:EX19" si="36">+GEOMEAN(EC12:EV12)</f>
        <v>0.31404207184311023</v>
      </c>
      <c r="EY12" s="124">
        <f t="shared" ref="EY12:EY19" si="37">+AVERAGE(EB12,EW12)</f>
        <v>0.250002610578138</v>
      </c>
      <c r="EZ12" s="124">
        <f t="shared" ref="EZ12:EZ19" si="38">+GEOMEAN(EB12,EX12)</f>
        <v>0.23841479610880476</v>
      </c>
      <c r="FA12" s="123">
        <v>0.41799999999999998</v>
      </c>
      <c r="FB12" s="219">
        <v>0.73117347217039574</v>
      </c>
      <c r="FC12" s="219">
        <v>0.47161139478406222</v>
      </c>
      <c r="FD12" s="219">
        <v>0.70485983759304882</v>
      </c>
      <c r="FE12" s="219">
        <v>0.67175948911782712</v>
      </c>
      <c r="FF12" s="219">
        <v>0.57987402085780704</v>
      </c>
      <c r="FG12" s="130">
        <f t="shared" ref="FG12:FG19" si="39">+AVERAGE(FB12:FF12)</f>
        <v>0.63185564290462826</v>
      </c>
      <c r="FH12" s="130">
        <f t="shared" ref="FH12:FH19" si="40">+GEOMEAN(FB12:FF12)</f>
        <v>0.62409541029570792</v>
      </c>
      <c r="FI12" s="126">
        <v>0.38400000000000001</v>
      </c>
      <c r="FJ12" s="126">
        <v>0.80700000000000005</v>
      </c>
      <c r="FK12" s="126">
        <v>0.627</v>
      </c>
      <c r="FL12" s="126">
        <v>0.69099999999999995</v>
      </c>
      <c r="FM12" s="126">
        <v>0.55799999999999994</v>
      </c>
      <c r="FN12" s="126">
        <v>0.45299999999999996</v>
      </c>
      <c r="FO12" s="130">
        <f t="shared" ref="FO12:FO19" si="41">+AVERAGE(FJ12:FN12)</f>
        <v>0.62719999999999998</v>
      </c>
      <c r="FP12" s="130">
        <f t="shared" ref="FP12:FP19" si="42">+GEOMEAN(FJ12:FN12)</f>
        <v>0.61555987781832389</v>
      </c>
      <c r="FQ12" s="130">
        <f t="shared" ref="FQ12:FQ19" si="43">+AVERAGE(FA12,FG12,FI12,FO12)</f>
        <v>0.51526391072615696</v>
      </c>
      <c r="FR12" s="130">
        <f t="shared" ref="FR12:FR19" si="44">+GEOMEAN(FA12,FH12,FI12,FP12)</f>
        <v>0.49831871723030108</v>
      </c>
      <c r="FS12" s="130">
        <f t="shared" ref="FS12:FS19" si="45">+AVERAGE(BR12,CD12,DD12,DF12,DP12,DY12,EA12,EY12,FQ12)</f>
        <v>0.47560406869566368</v>
      </c>
      <c r="FT12" s="130">
        <f t="shared" ref="FT12:FT19" si="46">+AVERAGE(BS12,CE12,DE12,DF12,DQ12,DZ12,EA12,EZ12,FR12)</f>
        <v>0.41856704945272732</v>
      </c>
      <c r="FU12" s="126">
        <v>0.33998058707366868</v>
      </c>
      <c r="FV12" s="131">
        <v>0.38600000000000001</v>
      </c>
      <c r="FW12" s="131">
        <v>0.18</v>
      </c>
      <c r="FX12" s="131">
        <v>4.8099999999999997E-2</v>
      </c>
      <c r="FY12" s="131">
        <v>0.26500000000000001</v>
      </c>
      <c r="FZ12" s="131">
        <f t="shared" ref="FZ12:FZ19" si="47">+AVERAGE(FU12:FY12)</f>
        <v>0.24381611741473375</v>
      </c>
      <c r="GA12" s="131">
        <f t="shared" ref="GA12:GA19" si="48">+GEOMEAN(FU12:FY12)</f>
        <v>0.19757908775585581</v>
      </c>
      <c r="GB12" s="122">
        <v>0.08</v>
      </c>
      <c r="GC12" s="132">
        <v>0.45760000000000001</v>
      </c>
      <c r="GD12" s="123">
        <f t="shared" ref="GD12:GD19" si="49">+AVERAGE(GB12:GC12)</f>
        <v>0.26879999999999998</v>
      </c>
      <c r="GE12" s="123">
        <f>+GEOMEAN(GB12:GC12)</f>
        <v>0.19133217188962237</v>
      </c>
    </row>
    <row r="13" spans="1:417" x14ac:dyDescent="0.2">
      <c r="A13" s="8" t="s">
        <v>224</v>
      </c>
      <c r="B13" s="122">
        <v>7.4494096917126801E-2</v>
      </c>
      <c r="C13" s="122">
        <v>2.2000000000000001E-3</v>
      </c>
      <c r="D13" s="125">
        <v>0.51200000000000001</v>
      </c>
      <c r="E13" s="125">
        <v>0.28499999999999998</v>
      </c>
      <c r="F13" s="125">
        <v>7.5999999999999998E-2</v>
      </c>
      <c r="G13" s="125">
        <v>0.65900000000000003</v>
      </c>
      <c r="H13" s="125">
        <v>2.5999999999999999E-2</v>
      </c>
      <c r="I13" s="125">
        <f t="shared" ref="I13:I19" si="50">+AVERAGE(D13:H13)</f>
        <v>0.31159999999999999</v>
      </c>
      <c r="J13" s="125">
        <f t="shared" si="0"/>
        <v>0.18020109894394329</v>
      </c>
      <c r="K13" s="125">
        <v>0.182</v>
      </c>
      <c r="L13" s="125">
        <v>7.8E-2</v>
      </c>
      <c r="M13" s="125">
        <v>0.35799999999999998</v>
      </c>
      <c r="N13" s="125">
        <v>0.308</v>
      </c>
      <c r="O13" s="125">
        <v>0.245</v>
      </c>
      <c r="P13" s="125">
        <v>0.17399999999999999</v>
      </c>
      <c r="Q13" s="125">
        <v>6.2E-2</v>
      </c>
      <c r="R13" s="125">
        <v>0.11799999999999999</v>
      </c>
      <c r="S13" s="125">
        <v>0.39900000000000002</v>
      </c>
      <c r="T13" s="125">
        <v>0.24099999999999999</v>
      </c>
      <c r="U13" s="125">
        <v>0.26900000000000002</v>
      </c>
      <c r="V13" s="125">
        <v>0.34100000000000003</v>
      </c>
      <c r="W13" s="125">
        <v>0.14499999999999999</v>
      </c>
      <c r="X13" s="125">
        <v>0.14499999999999999</v>
      </c>
      <c r="Y13" s="125">
        <v>0.53200000000000003</v>
      </c>
      <c r="Z13" s="125">
        <v>0.20100000000000001</v>
      </c>
      <c r="AA13" s="125">
        <v>7.6999999999999999E-2</v>
      </c>
      <c r="AB13" s="125">
        <v>0.11600000000000001</v>
      </c>
      <c r="AC13" s="125">
        <v>5.2999999999999999E-2</v>
      </c>
      <c r="AD13" s="125">
        <v>0.105</v>
      </c>
      <c r="AE13" s="125">
        <f t="shared" si="1"/>
        <v>0.20745000000000005</v>
      </c>
      <c r="AF13" s="125">
        <f t="shared" si="2"/>
        <v>0.17144196938786596</v>
      </c>
      <c r="AG13" s="125">
        <f t="shared" si="3"/>
        <v>0.304925</v>
      </c>
      <c r="AH13" s="125">
        <f t="shared" si="4"/>
        <v>0.17576698008672542</v>
      </c>
      <c r="AI13" s="125">
        <v>0.219</v>
      </c>
      <c r="AJ13" s="125">
        <v>6.0999999999999999E-2</v>
      </c>
      <c r="AK13" s="125">
        <f t="shared" si="5"/>
        <v>0.93900000000000006</v>
      </c>
      <c r="AL13" s="126">
        <v>0.29799999999999999</v>
      </c>
      <c r="AM13" s="126">
        <f t="shared" si="6"/>
        <v>0.70199999999999996</v>
      </c>
      <c r="AN13" s="126">
        <v>6.3E-2</v>
      </c>
      <c r="AO13" s="126">
        <f t="shared" si="7"/>
        <v>0.93700000000000006</v>
      </c>
      <c r="AP13" s="126">
        <v>0.35899999999999999</v>
      </c>
      <c r="AQ13" s="126">
        <v>0.39900000000000002</v>
      </c>
      <c r="AR13" s="126">
        <v>0.41699999999999998</v>
      </c>
      <c r="AS13" s="126">
        <v>0.433</v>
      </c>
      <c r="AT13" s="126">
        <v>0.17299999999999999</v>
      </c>
      <c r="AU13" s="126">
        <v>0.24199999999999999</v>
      </c>
      <c r="AV13" s="126">
        <v>0.35099999999999998</v>
      </c>
      <c r="AW13" s="125">
        <f t="shared" si="8"/>
        <v>0.41387499999999999</v>
      </c>
      <c r="AX13" s="125">
        <f t="shared" si="9"/>
        <v>0.37063799172369027</v>
      </c>
      <c r="AY13" s="126">
        <v>0.20599999999999999</v>
      </c>
      <c r="AZ13" s="126">
        <f t="shared" si="10"/>
        <v>0.79400000000000004</v>
      </c>
      <c r="BA13" s="126">
        <v>0.57199999999999995</v>
      </c>
      <c r="BB13" s="126">
        <v>0.108</v>
      </c>
      <c r="BC13" s="126">
        <f t="shared" si="11"/>
        <v>0.89200000000000002</v>
      </c>
      <c r="BD13" s="126">
        <v>3.4000000000000002E-2</v>
      </c>
      <c r="BE13" s="126">
        <f t="shared" si="12"/>
        <v>0.96599999999999997</v>
      </c>
      <c r="BF13" s="126">
        <v>7.5999999999999998E-2</v>
      </c>
      <c r="BG13" s="126">
        <f t="shared" si="13"/>
        <v>0.92400000000000004</v>
      </c>
      <c r="BH13" s="126">
        <v>0.11799999999999999</v>
      </c>
      <c r="BI13" s="125">
        <f t="shared" si="14"/>
        <v>0.71100000000000019</v>
      </c>
      <c r="BJ13" s="125">
        <f t="shared" si="15"/>
        <v>0.59113328662001152</v>
      </c>
      <c r="BK13" s="125">
        <f t="shared" si="16"/>
        <v>0.59697500000000014</v>
      </c>
      <c r="BL13" s="125">
        <f t="shared" si="17"/>
        <v>0.50120619886868178</v>
      </c>
      <c r="BM13" s="125">
        <f t="shared" si="18"/>
        <v>0.24464852422928174</v>
      </c>
      <c r="BN13" s="125">
        <f t="shared" si="19"/>
        <v>6.1641694149632255E-2</v>
      </c>
      <c r="BO13" s="126">
        <v>0.55900000000000005</v>
      </c>
      <c r="BP13" s="126">
        <v>0.61</v>
      </c>
      <c r="BQ13" s="126">
        <v>0.109</v>
      </c>
      <c r="BR13" s="126">
        <f t="shared" si="20"/>
        <v>0.42599999999999999</v>
      </c>
      <c r="BS13" s="126">
        <f t="shared" si="21"/>
        <v>0.33372549067914403</v>
      </c>
      <c r="BT13" s="128">
        <v>0.56799999999999995</v>
      </c>
      <c r="BU13" s="128">
        <v>0.623</v>
      </c>
      <c r="BV13" s="128">
        <v>0.71599999999999997</v>
      </c>
      <c r="BW13" s="128">
        <v>4.2999999999999997E-2</v>
      </c>
      <c r="BX13" s="128">
        <v>5.3999999999999999E-2</v>
      </c>
      <c r="BY13" s="128">
        <v>0.443</v>
      </c>
      <c r="BZ13" s="128">
        <v>4.2999999999999997E-2</v>
      </c>
      <c r="CA13" s="128">
        <v>0.35899999999999999</v>
      </c>
      <c r="CB13" s="128">
        <v>0.123</v>
      </c>
      <c r="CC13" s="128">
        <v>5.0000000000000001E-3</v>
      </c>
      <c r="CD13" s="128">
        <f t="shared" si="22"/>
        <v>0.29769999999999996</v>
      </c>
      <c r="CE13" s="128">
        <f t="shared" si="23"/>
        <v>0.1378305015876739</v>
      </c>
      <c r="CF13" s="128">
        <v>0.16400000000000001</v>
      </c>
      <c r="CG13" s="128">
        <v>7.8E-2</v>
      </c>
      <c r="CH13" s="128">
        <v>4.5100000000000001E-2</v>
      </c>
      <c r="CI13" s="128">
        <v>0.222</v>
      </c>
      <c r="CJ13" s="123">
        <v>0.86499999999999999</v>
      </c>
      <c r="CK13" s="128">
        <v>0.502</v>
      </c>
      <c r="CL13" s="128">
        <v>0.86399999999999999</v>
      </c>
      <c r="CM13" s="128">
        <v>0.30199999999999999</v>
      </c>
      <c r="CN13" s="128">
        <v>0.32500000000000001</v>
      </c>
      <c r="CO13" s="128">
        <v>3.3000000000000002E-2</v>
      </c>
      <c r="CP13" s="124">
        <f t="shared" si="24"/>
        <v>0.34001000000000003</v>
      </c>
      <c r="CQ13" s="124">
        <f t="shared" si="25"/>
        <v>0.20855018421362922</v>
      </c>
      <c r="CR13" s="125">
        <v>0.77717315531739251</v>
      </c>
      <c r="CS13" s="125">
        <v>0.92682556633932056</v>
      </c>
      <c r="CT13" s="125">
        <v>0.71443188248232969</v>
      </c>
      <c r="CU13" s="125">
        <v>0.64934070362583673</v>
      </c>
      <c r="CV13" s="125">
        <v>0.6034489105549401</v>
      </c>
      <c r="CW13" s="125">
        <v>0.71886170445256969</v>
      </c>
      <c r="CX13" s="125">
        <v>0.26400000000000001</v>
      </c>
      <c r="CY13" s="125">
        <v>0.67100000000000004</v>
      </c>
      <c r="CZ13" s="125">
        <v>0.58599999999999997</v>
      </c>
      <c r="DA13" s="125">
        <v>0.40300000000000002</v>
      </c>
      <c r="DB13" s="125">
        <f t="shared" ref="DB13:DB19" si="51">+AVERAGE(CR13:DA13)</f>
        <v>0.63140819227723899</v>
      </c>
      <c r="DC13" s="125">
        <f t="shared" si="26"/>
        <v>0.60017295533149029</v>
      </c>
      <c r="DD13" s="125">
        <f t="shared" si="27"/>
        <v>0.48570909613861951</v>
      </c>
      <c r="DE13" s="125">
        <f t="shared" si="28"/>
        <v>0.35378832710311481</v>
      </c>
      <c r="DF13" s="125">
        <v>0.39200000000000002</v>
      </c>
      <c r="DG13" s="123">
        <v>0.63170536429143309</v>
      </c>
      <c r="DH13" s="123">
        <v>0.74427542033626903</v>
      </c>
      <c r="DI13" s="123">
        <v>0.14323458767013611</v>
      </c>
      <c r="DJ13" s="123">
        <v>0.10576461168935149</v>
      </c>
      <c r="DK13" s="123">
        <v>5.5644515612489995E-2</v>
      </c>
      <c r="DL13" s="123">
        <f t="shared" si="29"/>
        <v>0.33612489991993599</v>
      </c>
      <c r="DM13" s="123">
        <f t="shared" si="30"/>
        <v>0.20874293130966448</v>
      </c>
      <c r="DN13" s="123">
        <v>0.40600000000000003</v>
      </c>
      <c r="DO13" s="121">
        <v>0.35499999999999998</v>
      </c>
      <c r="DP13" s="129">
        <f t="shared" si="31"/>
        <v>0.36570829997331195</v>
      </c>
      <c r="DQ13" s="129">
        <f t="shared" si="32"/>
        <v>0.31102028964949219</v>
      </c>
      <c r="DR13" s="128">
        <v>0.84199999999999997</v>
      </c>
      <c r="DS13" s="128">
        <v>0.77300000000000002</v>
      </c>
      <c r="DT13" s="128">
        <v>0.747</v>
      </c>
      <c r="DU13" s="128">
        <v>0.60399999999999998</v>
      </c>
      <c r="DV13" s="128">
        <v>0.53100000000000003</v>
      </c>
      <c r="DW13" s="128">
        <v>0.60699999999999998</v>
      </c>
      <c r="DX13" s="128">
        <v>0.66100000000000003</v>
      </c>
      <c r="DY13" s="129">
        <f t="shared" si="33"/>
        <v>0.68071428571428583</v>
      </c>
      <c r="DZ13" s="129">
        <f t="shared" si="34"/>
        <v>0.6730505529030899</v>
      </c>
      <c r="EA13" s="129">
        <v>5.0999999999999997E-2</v>
      </c>
      <c r="EB13" s="128">
        <v>4.2999999999999997E-2</v>
      </c>
      <c r="EC13" s="214">
        <v>0.25103671265559679</v>
      </c>
      <c r="ED13" s="214">
        <v>0.29703523390211856</v>
      </c>
      <c r="EE13" s="214">
        <v>0.29873574509673112</v>
      </c>
      <c r="EF13" s="214">
        <v>0.28932954599776456</v>
      </c>
      <c r="EG13" s="214">
        <v>0.23178498103070883</v>
      </c>
      <c r="EH13" s="214">
        <v>0.27302698196755781</v>
      </c>
      <c r="EI13" s="124">
        <v>0.16502635885130507</v>
      </c>
      <c r="EJ13" s="124">
        <v>0.3226442304480665</v>
      </c>
      <c r="EK13" s="124">
        <v>0.22062347137116356</v>
      </c>
      <c r="EL13" s="124">
        <v>0.25150115025447084</v>
      </c>
      <c r="EM13" s="124">
        <v>0.25050371685691464</v>
      </c>
      <c r="EN13" s="124">
        <v>0.21543201423728087</v>
      </c>
      <c r="EO13" s="124">
        <v>0.23466280616078664</v>
      </c>
      <c r="EP13" s="124">
        <v>0.29672402967709677</v>
      </c>
      <c r="EQ13" s="124">
        <v>0.32427851275145919</v>
      </c>
      <c r="ER13" s="124">
        <v>0.24237408698625701</v>
      </c>
      <c r="ES13" s="124">
        <v>0.23110105001278819</v>
      </c>
      <c r="ET13" s="124">
        <v>0.25097508819354775</v>
      </c>
      <c r="EU13" s="124">
        <v>0.31139792120328186</v>
      </c>
      <c r="EV13" s="124">
        <v>0.14044493962440033</v>
      </c>
      <c r="EW13" s="124">
        <f t="shared" si="35"/>
        <v>0.25493192886396482</v>
      </c>
      <c r="EX13" s="124">
        <f t="shared" si="36"/>
        <v>0.24990690287484074</v>
      </c>
      <c r="EY13" s="124">
        <f t="shared" si="37"/>
        <v>0.1489659644319824</v>
      </c>
      <c r="EZ13" s="124">
        <f t="shared" si="38"/>
        <v>0.10366289993830075</v>
      </c>
      <c r="FA13" s="123">
        <v>0.311</v>
      </c>
      <c r="FB13" s="219">
        <v>0.63757873765961048</v>
      </c>
      <c r="FC13" s="219">
        <v>0.38752960108811296</v>
      </c>
      <c r="FD13" s="219">
        <v>0.47203478771533774</v>
      </c>
      <c r="FE13" s="219">
        <v>0.57398876266414889</v>
      </c>
      <c r="FF13" s="219">
        <v>0.45840244589347667</v>
      </c>
      <c r="FG13" s="130">
        <f t="shared" si="39"/>
        <v>0.50590686700413745</v>
      </c>
      <c r="FH13" s="130">
        <f t="shared" si="40"/>
        <v>0.498187246915759</v>
      </c>
      <c r="FI13" s="126">
        <v>0.42299999999999999</v>
      </c>
      <c r="FJ13" s="126">
        <v>0.72099999999999997</v>
      </c>
      <c r="FK13" s="126">
        <v>0.46299999999999997</v>
      </c>
      <c r="FL13" s="126">
        <v>0.63300000000000001</v>
      </c>
      <c r="FM13" s="126">
        <v>0.63100000000000001</v>
      </c>
      <c r="FN13" s="126">
        <v>0.34</v>
      </c>
      <c r="FO13" s="130">
        <f t="shared" si="41"/>
        <v>0.55759999999999998</v>
      </c>
      <c r="FP13" s="130">
        <f t="shared" si="42"/>
        <v>0.5386239350302775</v>
      </c>
      <c r="FQ13" s="130">
        <f t="shared" si="43"/>
        <v>0.44937671675103441</v>
      </c>
      <c r="FR13" s="130">
        <f t="shared" si="44"/>
        <v>0.43345573424315065</v>
      </c>
      <c r="FS13" s="130">
        <f t="shared" si="45"/>
        <v>0.36635270700102601</v>
      </c>
      <c r="FT13" s="130">
        <f t="shared" si="46"/>
        <v>0.3099481995671074</v>
      </c>
      <c r="FU13" s="126">
        <v>0.18698233265792186</v>
      </c>
      <c r="FV13" s="131">
        <v>0.46</v>
      </c>
      <c r="FW13" s="131">
        <v>0.21</v>
      </c>
      <c r="FX13" s="131">
        <v>5.4300000000000001E-2</v>
      </c>
      <c r="FY13" s="131">
        <v>0.312</v>
      </c>
      <c r="FZ13" s="131">
        <f t="shared" si="47"/>
        <v>0.24465646653158438</v>
      </c>
      <c r="GA13" s="131">
        <f t="shared" si="48"/>
        <v>0.19821952207960197</v>
      </c>
      <c r="GB13" s="122">
        <v>0.08</v>
      </c>
      <c r="GC13" s="132">
        <v>2.53E-2</v>
      </c>
      <c r="GD13" s="123">
        <f t="shared" si="49"/>
        <v>5.2650000000000002E-2</v>
      </c>
      <c r="GE13" s="123">
        <f t="shared" ref="GE13:GE18" si="52">+GEOMEAN(GB13:GC13)</f>
        <v>4.498888751680797E-2</v>
      </c>
    </row>
    <row r="14" spans="1:417" x14ac:dyDescent="0.2">
      <c r="A14" s="9" t="s">
        <v>73</v>
      </c>
      <c r="B14" s="122">
        <v>3.7400000000000003E-2</v>
      </c>
      <c r="C14" s="122">
        <v>2.2000000000000001E-3</v>
      </c>
      <c r="D14" s="125">
        <v>0.56499999999999995</v>
      </c>
      <c r="E14" s="125">
        <v>0.29799999999999999</v>
      </c>
      <c r="F14" s="125">
        <v>6.5000000000000002E-2</v>
      </c>
      <c r="G14" s="125">
        <v>0.67100000000000004</v>
      </c>
      <c r="H14" s="125">
        <v>4.2000000000000003E-2</v>
      </c>
      <c r="I14" s="125">
        <f t="shared" si="50"/>
        <v>0.32819999999999999</v>
      </c>
      <c r="J14" s="125">
        <f t="shared" si="0"/>
        <v>0.19853175230330028</v>
      </c>
      <c r="K14" s="125">
        <v>0.12</v>
      </c>
      <c r="L14" s="125">
        <v>0.105</v>
      </c>
      <c r="M14" s="125">
        <v>0.35</v>
      </c>
      <c r="N14" s="125">
        <v>0.31900000000000001</v>
      </c>
      <c r="O14" s="125">
        <v>0.21099999999999999</v>
      </c>
      <c r="P14" s="125">
        <v>0.17</v>
      </c>
      <c r="Q14" s="125">
        <v>8.6999999999999994E-2</v>
      </c>
      <c r="R14" s="125">
        <v>0.124</v>
      </c>
      <c r="S14" s="125">
        <v>0.36399999999999999</v>
      </c>
      <c r="T14" s="125">
        <v>0.13</v>
      </c>
      <c r="U14" s="125">
        <v>0.191</v>
      </c>
      <c r="V14" s="125">
        <v>0.34699999999999998</v>
      </c>
      <c r="W14" s="125">
        <v>0.109</v>
      </c>
      <c r="X14" s="125">
        <v>0.11899999999999999</v>
      </c>
      <c r="Y14" s="125">
        <v>0.53</v>
      </c>
      <c r="Z14" s="125">
        <v>0.183</v>
      </c>
      <c r="AA14" s="125">
        <v>9.4E-2</v>
      </c>
      <c r="AB14" s="125">
        <v>0.127</v>
      </c>
      <c r="AC14" s="125">
        <v>7.5999999999999998E-2</v>
      </c>
      <c r="AD14" s="125">
        <v>0.1</v>
      </c>
      <c r="AE14" s="125">
        <f t="shared" si="1"/>
        <v>0.1928</v>
      </c>
      <c r="AF14" s="125">
        <f t="shared" si="2"/>
        <v>0.16386557925382364</v>
      </c>
      <c r="AG14" s="125">
        <f t="shared" si="3"/>
        <v>0.25219999999999998</v>
      </c>
      <c r="AH14" s="125">
        <f t="shared" si="4"/>
        <v>0.18036773711353407</v>
      </c>
      <c r="AI14" s="125">
        <v>0.191</v>
      </c>
      <c r="AJ14" s="125">
        <v>5.6000000000000001E-2</v>
      </c>
      <c r="AK14" s="125">
        <f t="shared" si="5"/>
        <v>0.94399999999999995</v>
      </c>
      <c r="AL14" s="126">
        <v>0.23899999999999999</v>
      </c>
      <c r="AM14" s="126">
        <f t="shared" si="6"/>
        <v>0.76100000000000001</v>
      </c>
      <c r="AN14" s="126">
        <v>2.9000000000000001E-2</v>
      </c>
      <c r="AO14" s="126">
        <f t="shared" si="7"/>
        <v>0.97099999999999997</v>
      </c>
      <c r="AP14" s="126">
        <v>0.41199999999999998</v>
      </c>
      <c r="AQ14" s="126">
        <v>0.371</v>
      </c>
      <c r="AR14" s="126">
        <v>0.38900000000000001</v>
      </c>
      <c r="AS14" s="126">
        <v>0.39800000000000002</v>
      </c>
      <c r="AT14" s="126">
        <v>9.9000000000000005E-2</v>
      </c>
      <c r="AU14" s="126">
        <v>0.26900000000000002</v>
      </c>
      <c r="AV14" s="126">
        <v>0.251</v>
      </c>
      <c r="AW14" s="125">
        <f t="shared" si="8"/>
        <v>0.39500000000000002</v>
      </c>
      <c r="AX14" s="125">
        <f t="shared" si="9"/>
        <v>0.3336553002067445</v>
      </c>
      <c r="AY14" s="126">
        <v>0.24</v>
      </c>
      <c r="AZ14" s="126">
        <f t="shared" si="10"/>
        <v>0.76</v>
      </c>
      <c r="BA14" s="126">
        <v>0.51300000000000001</v>
      </c>
      <c r="BB14" s="126">
        <v>0.156</v>
      </c>
      <c r="BC14" s="126">
        <f t="shared" si="11"/>
        <v>0.84399999999999997</v>
      </c>
      <c r="BD14" s="126">
        <v>4.1000000000000002E-2</v>
      </c>
      <c r="BE14" s="126">
        <f t="shared" si="12"/>
        <v>0.95899999999999996</v>
      </c>
      <c r="BF14" s="126">
        <v>5.3999999999999999E-2</v>
      </c>
      <c r="BG14" s="126">
        <f t="shared" si="13"/>
        <v>0.94599999999999995</v>
      </c>
      <c r="BH14" s="126">
        <v>0.105</v>
      </c>
      <c r="BI14" s="125">
        <f t="shared" si="14"/>
        <v>0.68783333333333341</v>
      </c>
      <c r="BJ14" s="125">
        <f t="shared" si="15"/>
        <v>0.56151592081599222</v>
      </c>
      <c r="BK14" s="125">
        <f t="shared" si="16"/>
        <v>0.59576666666666667</v>
      </c>
      <c r="BL14" s="125">
        <f t="shared" si="17"/>
        <v>0.4808504470820783</v>
      </c>
      <c r="BM14" s="125">
        <f t="shared" si="18"/>
        <v>0.22189166666666665</v>
      </c>
      <c r="BN14" s="125">
        <f t="shared" si="19"/>
        <v>5.1685151184480679E-2</v>
      </c>
      <c r="BO14" s="126">
        <v>0.61499999999999999</v>
      </c>
      <c r="BP14" s="126">
        <v>0.57099999999999995</v>
      </c>
      <c r="BQ14" s="126">
        <v>6.4000000000000001E-2</v>
      </c>
      <c r="BR14" s="126">
        <f t="shared" si="20"/>
        <v>0.41666666666666669</v>
      </c>
      <c r="BS14" s="126">
        <f t="shared" si="21"/>
        <v>0.28220436873119636</v>
      </c>
      <c r="BT14" s="128">
        <v>0.54900000000000004</v>
      </c>
      <c r="BU14" s="128">
        <v>0.54700000000000004</v>
      </c>
      <c r="BV14" s="128">
        <v>0.71</v>
      </c>
      <c r="BW14" s="128">
        <v>0.108</v>
      </c>
      <c r="BX14" s="128">
        <v>0.08</v>
      </c>
      <c r="BY14" s="128">
        <v>0.47</v>
      </c>
      <c r="BZ14" s="128">
        <v>0.08</v>
      </c>
      <c r="CA14" s="128">
        <v>0.30299999999999999</v>
      </c>
      <c r="CB14" s="128">
        <v>0.13200000000000001</v>
      </c>
      <c r="CC14" s="128">
        <v>3.0000000000000001E-3</v>
      </c>
      <c r="CD14" s="128">
        <f t="shared" si="22"/>
        <v>0.29820000000000008</v>
      </c>
      <c r="CE14" s="128">
        <f t="shared" si="23"/>
        <v>0.15558428993059095</v>
      </c>
      <c r="CF14" s="128">
        <v>0.10299999999999999</v>
      </c>
      <c r="CG14" s="128">
        <v>5.8999999999999997E-2</v>
      </c>
      <c r="CH14" s="128">
        <v>5.3999999999999999E-2</v>
      </c>
      <c r="CI14" s="128">
        <v>0.21099999999999999</v>
      </c>
      <c r="CJ14" s="123">
        <v>0.85</v>
      </c>
      <c r="CK14" s="128">
        <v>0.42299999999999999</v>
      </c>
      <c r="CL14" s="128">
        <v>0.98</v>
      </c>
      <c r="CM14" s="128">
        <v>0.254</v>
      </c>
      <c r="CN14" s="128">
        <v>0.35199999999999998</v>
      </c>
      <c r="CO14" s="128">
        <v>4.0000000000000001E-3</v>
      </c>
      <c r="CP14" s="124">
        <f t="shared" si="24"/>
        <v>0.32899999999999996</v>
      </c>
      <c r="CQ14" s="124">
        <f t="shared" si="25"/>
        <v>0.15634310006822943</v>
      </c>
      <c r="CR14" s="125">
        <v>0.72818524941725715</v>
      </c>
      <c r="CS14" s="125">
        <v>0.88918104491468763</v>
      </c>
      <c r="CT14" s="125">
        <v>0.70086993634626804</v>
      </c>
      <c r="CU14" s="125">
        <v>0.52580680610356345</v>
      </c>
      <c r="CV14" s="125">
        <v>0.53457829081152342</v>
      </c>
      <c r="CW14" s="125">
        <v>0.60969227308421881</v>
      </c>
      <c r="CX14" s="125">
        <v>1</v>
      </c>
      <c r="CY14" s="125">
        <v>0.51400000000000001</v>
      </c>
      <c r="CZ14" s="125">
        <v>0.65500000000000003</v>
      </c>
      <c r="DA14" s="125">
        <v>0.56100000000000005</v>
      </c>
      <c r="DB14" s="125">
        <f t="shared" si="51"/>
        <v>0.6718313600677519</v>
      </c>
      <c r="DC14" s="125">
        <f t="shared" si="26"/>
        <v>0.65568990868010169</v>
      </c>
      <c r="DD14" s="125">
        <f t="shared" si="27"/>
        <v>0.50041568003387593</v>
      </c>
      <c r="DE14" s="125">
        <f t="shared" si="28"/>
        <v>0.32017587823960342</v>
      </c>
      <c r="DF14" s="125">
        <v>0.32100000000000001</v>
      </c>
      <c r="DG14" s="123">
        <v>0.53024453024453022</v>
      </c>
      <c r="DH14" s="123">
        <v>0.77691977691977687</v>
      </c>
      <c r="DI14" s="123">
        <v>0.12784212784212784</v>
      </c>
      <c r="DJ14" s="123">
        <v>8.6658086658086664E-2</v>
      </c>
      <c r="DK14" s="123">
        <v>3.9468039468039465E-2</v>
      </c>
      <c r="DL14" s="123">
        <f t="shared" si="29"/>
        <v>0.31222651222651221</v>
      </c>
      <c r="DM14" s="123">
        <f t="shared" si="30"/>
        <v>0.17828557369743939</v>
      </c>
      <c r="DN14" s="123">
        <v>0.2697</v>
      </c>
      <c r="DO14" s="121">
        <v>0.25</v>
      </c>
      <c r="DP14" s="129">
        <f t="shared" si="31"/>
        <v>0.27730883740883744</v>
      </c>
      <c r="DQ14" s="129">
        <f t="shared" si="32"/>
        <v>0.22907571599578713</v>
      </c>
      <c r="DR14" s="128">
        <v>0.84799999999999998</v>
      </c>
      <c r="DS14" s="128">
        <v>0.78600000000000003</v>
      </c>
      <c r="DT14" s="128">
        <v>0.73099999999999998</v>
      </c>
      <c r="DU14" s="128">
        <v>0.72099999999999997</v>
      </c>
      <c r="DV14" s="128">
        <v>0.60399999999999998</v>
      </c>
      <c r="DW14" s="128">
        <v>0.69499999999999995</v>
      </c>
      <c r="DX14" s="128">
        <v>0.75800000000000001</v>
      </c>
      <c r="DY14" s="129">
        <f t="shared" si="33"/>
        <v>0.73471428571428565</v>
      </c>
      <c r="DZ14" s="129">
        <f t="shared" si="34"/>
        <v>0.73122614749198966</v>
      </c>
      <c r="EA14" s="129">
        <v>2.1000000000000001E-2</v>
      </c>
      <c r="EB14" s="128">
        <v>0.108</v>
      </c>
      <c r="EC14" s="214">
        <v>0.11605308634914194</v>
      </c>
      <c r="ED14" s="214">
        <v>0.25754144452712052</v>
      </c>
      <c r="EE14" s="214">
        <v>0.57768744225710134</v>
      </c>
      <c r="EF14" s="214">
        <v>0.6398104944655848</v>
      </c>
      <c r="EG14" s="214">
        <v>0.34610194627754637</v>
      </c>
      <c r="EH14" s="214">
        <v>0.39524740790670315</v>
      </c>
      <c r="EI14" s="124">
        <v>0.19159916278499378</v>
      </c>
      <c r="EJ14" s="124">
        <v>0.44428491535584141</v>
      </c>
      <c r="EK14" s="124">
        <v>0.47946085250457332</v>
      </c>
      <c r="EL14" s="124">
        <v>0.29474147164918496</v>
      </c>
      <c r="EM14" s="124">
        <v>0.3398219776147936</v>
      </c>
      <c r="EN14" s="124">
        <v>0.56041390917918354</v>
      </c>
      <c r="EO14" s="124">
        <v>0.25011616813684684</v>
      </c>
      <c r="EP14" s="124">
        <v>0.25746631142791515</v>
      </c>
      <c r="EQ14" s="124">
        <v>0.50464192633013216</v>
      </c>
      <c r="ER14" s="124">
        <v>0.34062307891913213</v>
      </c>
      <c r="ES14" s="124">
        <v>0.1265158097891266</v>
      </c>
      <c r="ET14" s="124">
        <v>0.3557561738756449</v>
      </c>
      <c r="EU14" s="124">
        <v>4.7545180294068595E-2</v>
      </c>
      <c r="EV14" s="124">
        <v>0.15328950035720518</v>
      </c>
      <c r="EW14" s="124">
        <f t="shared" si="35"/>
        <v>0.33393591300009207</v>
      </c>
      <c r="EX14" s="124">
        <f t="shared" si="36"/>
        <v>0.28508104542812768</v>
      </c>
      <c r="EY14" s="124">
        <f t="shared" si="37"/>
        <v>0.22096795650004603</v>
      </c>
      <c r="EZ14" s="124">
        <f t="shared" si="38"/>
        <v>0.17546724168983163</v>
      </c>
      <c r="FA14" s="123">
        <v>0.21099999999999999</v>
      </c>
      <c r="FB14" s="219">
        <v>0.50233673878221241</v>
      </c>
      <c r="FC14" s="219">
        <v>0.21075103346667085</v>
      </c>
      <c r="FD14" s="219">
        <v>0.34846096901436702</v>
      </c>
      <c r="FE14" s="219">
        <v>0.71896538019132905</v>
      </c>
      <c r="FF14" s="219">
        <v>0.18979403924133884</v>
      </c>
      <c r="FG14" s="130">
        <f>+AVERAGE(FB14:FF14)</f>
        <v>0.39406163213918366</v>
      </c>
      <c r="FH14" s="130">
        <f t="shared" si="40"/>
        <v>0.34704186486601413</v>
      </c>
      <c r="FI14" s="126">
        <v>0.218</v>
      </c>
      <c r="FJ14" s="126">
        <v>0.375</v>
      </c>
      <c r="FK14" s="126">
        <v>0.19699999999999998</v>
      </c>
      <c r="FL14" s="126">
        <v>0.24299999999999999</v>
      </c>
      <c r="FM14" s="126">
        <v>0.35100000000000003</v>
      </c>
      <c r="FN14" s="126">
        <v>0.184</v>
      </c>
      <c r="FO14" s="130">
        <f t="shared" si="41"/>
        <v>0.26999999999999996</v>
      </c>
      <c r="FP14" s="130">
        <f t="shared" si="42"/>
        <v>0.25872937618165093</v>
      </c>
      <c r="FQ14" s="130">
        <f>+AVERAGE(FA14,FG14,FI14,FO14)</f>
        <v>0.27326540803479588</v>
      </c>
      <c r="FR14" s="130">
        <f t="shared" si="44"/>
        <v>0.25350798288272675</v>
      </c>
      <c r="FS14" s="130">
        <f>+AVERAGE(BR14,CD14,DD14,DF14,DP14,DY14,EA14,EY14,FQ14)</f>
        <v>0.34039320381761201</v>
      </c>
      <c r="FT14" s="130">
        <f t="shared" si="46"/>
        <v>0.27658240277352508</v>
      </c>
      <c r="FU14" s="126">
        <v>0.20226192427470907</v>
      </c>
      <c r="FV14" s="131">
        <v>0.41299999999999998</v>
      </c>
      <c r="FW14" s="131">
        <v>5.3999999999999999E-2</v>
      </c>
      <c r="FX14" s="131">
        <v>4.0500000000000001E-2</v>
      </c>
      <c r="FY14" s="131">
        <v>0.13800000000000001</v>
      </c>
      <c r="FZ14" s="131">
        <f t="shared" si="47"/>
        <v>0.16955238485494181</v>
      </c>
      <c r="GA14" s="131">
        <f t="shared" si="48"/>
        <v>0.12031462205882916</v>
      </c>
      <c r="GB14" s="122">
        <v>0.05</v>
      </c>
      <c r="GC14" s="132">
        <v>4.6699999999999998E-2</v>
      </c>
      <c r="GD14" s="123">
        <f t="shared" si="49"/>
        <v>4.8350000000000004E-2</v>
      </c>
      <c r="GE14" s="123">
        <f t="shared" si="52"/>
        <v>4.8321837713398277E-2</v>
      </c>
    </row>
    <row r="15" spans="1:417" x14ac:dyDescent="0.2">
      <c r="A15" s="9" t="s">
        <v>225</v>
      </c>
      <c r="B15" s="122">
        <v>0.1065</v>
      </c>
      <c r="C15" s="122">
        <v>1.0699999999999999E-2</v>
      </c>
      <c r="D15" s="125">
        <v>0.52</v>
      </c>
      <c r="E15" s="125">
        <v>0.27600000000000002</v>
      </c>
      <c r="F15" s="125">
        <v>9.7000000000000003E-2</v>
      </c>
      <c r="G15" s="125">
        <v>0.68400000000000005</v>
      </c>
      <c r="H15" s="125">
        <v>3.6999999999999998E-2</v>
      </c>
      <c r="I15" s="125">
        <f t="shared" si="50"/>
        <v>0.32279999999999998</v>
      </c>
      <c r="J15" s="125">
        <f t="shared" si="0"/>
        <v>0.20388646549221248</v>
      </c>
      <c r="K15" s="125">
        <v>0.17599999999999999</v>
      </c>
      <c r="L15" s="125">
        <v>7.6999999999999999E-2</v>
      </c>
      <c r="M15" s="125">
        <v>0.34</v>
      </c>
      <c r="N15" s="125">
        <v>0.316</v>
      </c>
      <c r="O15" s="125">
        <v>0.22500000000000001</v>
      </c>
      <c r="P15" s="125">
        <v>0.159</v>
      </c>
      <c r="Q15" s="125">
        <v>6.2E-2</v>
      </c>
      <c r="R15" s="125">
        <v>0.13600000000000001</v>
      </c>
      <c r="S15" s="125">
        <v>0.38500000000000001</v>
      </c>
      <c r="T15" s="125">
        <v>0.22800000000000001</v>
      </c>
      <c r="U15" s="125">
        <v>0.26600000000000001</v>
      </c>
      <c r="V15" s="125">
        <v>0.34</v>
      </c>
      <c r="W15" s="125">
        <v>9.0999999999999998E-2</v>
      </c>
      <c r="X15" s="125">
        <v>0.14499999999999999</v>
      </c>
      <c r="Y15" s="125">
        <v>0.56999999999999995</v>
      </c>
      <c r="Z15" s="125">
        <v>0.19900000000000001</v>
      </c>
      <c r="AA15" s="125">
        <v>9.1999999999999998E-2</v>
      </c>
      <c r="AB15" s="125">
        <v>0.13200000000000001</v>
      </c>
      <c r="AC15" s="125">
        <v>6.5000000000000002E-2</v>
      </c>
      <c r="AD15" s="125">
        <v>9.2999999999999999E-2</v>
      </c>
      <c r="AE15" s="125">
        <f t="shared" si="1"/>
        <v>0.20485000000000003</v>
      </c>
      <c r="AF15" s="125">
        <f t="shared" si="2"/>
        <v>0.16949877260149726</v>
      </c>
      <c r="AG15" s="125">
        <f t="shared" si="3"/>
        <v>0.26652500000000001</v>
      </c>
      <c r="AH15" s="125">
        <f t="shared" si="4"/>
        <v>0.18589918141559297</v>
      </c>
      <c r="AI15" s="125">
        <v>0.17699999999999999</v>
      </c>
      <c r="AJ15" s="125">
        <v>6.0999999999999999E-2</v>
      </c>
      <c r="AK15" s="125">
        <f t="shared" si="5"/>
        <v>0.93900000000000006</v>
      </c>
      <c r="AL15" s="126">
        <v>0.34799999999999998</v>
      </c>
      <c r="AM15" s="126">
        <f t="shared" si="6"/>
        <v>0.65200000000000002</v>
      </c>
      <c r="AN15" s="126">
        <v>7.5999999999999998E-2</v>
      </c>
      <c r="AO15" s="126">
        <f t="shared" si="7"/>
        <v>0.92400000000000004</v>
      </c>
      <c r="AP15" s="126">
        <v>0.33600000000000002</v>
      </c>
      <c r="AQ15" s="126">
        <v>0.375</v>
      </c>
      <c r="AR15" s="126">
        <v>0.41199999999999998</v>
      </c>
      <c r="AS15" s="126">
        <v>0.41699999999999998</v>
      </c>
      <c r="AT15" s="126">
        <v>0.19800000000000001</v>
      </c>
      <c r="AU15" s="126">
        <v>0.217</v>
      </c>
      <c r="AV15" s="126">
        <v>0.34100000000000003</v>
      </c>
      <c r="AW15" s="125">
        <f>+AVERAGE(AO15:AV15)</f>
        <v>0.40250000000000002</v>
      </c>
      <c r="AX15" s="125">
        <f t="shared" si="9"/>
        <v>0.36171738817688687</v>
      </c>
      <c r="AY15" s="126">
        <v>0.20100000000000001</v>
      </c>
      <c r="AZ15" s="126">
        <f t="shared" si="10"/>
        <v>0.79899999999999993</v>
      </c>
      <c r="BA15" s="126">
        <v>0.63700000000000001</v>
      </c>
      <c r="BB15" s="126">
        <v>0.106</v>
      </c>
      <c r="BC15" s="126">
        <f t="shared" si="11"/>
        <v>0.89400000000000002</v>
      </c>
      <c r="BD15" s="126">
        <v>0.02</v>
      </c>
      <c r="BE15" s="126">
        <f t="shared" si="12"/>
        <v>0.98</v>
      </c>
      <c r="BF15" s="126">
        <v>9.4E-2</v>
      </c>
      <c r="BG15" s="126">
        <f t="shared" si="13"/>
        <v>0.90600000000000003</v>
      </c>
      <c r="BH15" s="126">
        <v>0.121</v>
      </c>
      <c r="BI15" s="125">
        <f t="shared" si="14"/>
        <v>0.72283333333333333</v>
      </c>
      <c r="BJ15" s="125">
        <f t="shared" si="15"/>
        <v>0.60468226200460362</v>
      </c>
      <c r="BK15" s="125">
        <f t="shared" si="16"/>
        <v>0.57866666666666666</v>
      </c>
      <c r="BL15" s="125">
        <f t="shared" si="17"/>
        <v>0.4731039934640045</v>
      </c>
      <c r="BM15" s="125">
        <f t="shared" si="18"/>
        <v>0.24059791666666666</v>
      </c>
      <c r="BN15" s="125">
        <f t="shared" si="19"/>
        <v>0.10005570795317466</v>
      </c>
      <c r="BO15" s="126">
        <v>0.53200000000000003</v>
      </c>
      <c r="BP15" s="126">
        <v>0.623</v>
      </c>
      <c r="BQ15" s="126">
        <v>0.152</v>
      </c>
      <c r="BR15" s="126">
        <f t="shared" si="20"/>
        <v>0.43566666666666665</v>
      </c>
      <c r="BS15" s="126">
        <f t="shared" si="21"/>
        <v>0.36932986076168972</v>
      </c>
      <c r="BT15" s="128">
        <v>0.623</v>
      </c>
      <c r="BU15" s="128">
        <v>0.63500000000000001</v>
      </c>
      <c r="BV15" s="128">
        <v>0.749</v>
      </c>
      <c r="BW15" s="128">
        <v>7.0000000000000007E-2</v>
      </c>
      <c r="BX15" s="128">
        <v>6.5000000000000002E-2</v>
      </c>
      <c r="BY15" s="128">
        <v>0.40400000000000003</v>
      </c>
      <c r="BZ15" s="128">
        <v>5.8999999999999997E-2</v>
      </c>
      <c r="CA15" s="128">
        <v>0.40699999999999997</v>
      </c>
      <c r="CB15" s="128">
        <v>0.14599999999999999</v>
      </c>
      <c r="CC15" s="128">
        <v>6.0000000000000001E-3</v>
      </c>
      <c r="CD15" s="128">
        <f t="shared" si="22"/>
        <v>0.31639999999999996</v>
      </c>
      <c r="CE15" s="128">
        <f t="shared" si="23"/>
        <v>0.1606603422693289</v>
      </c>
      <c r="CF15" s="128">
        <v>0.16400000000000001</v>
      </c>
      <c r="CG15" s="128">
        <v>8.3000000000000004E-2</v>
      </c>
      <c r="CH15" s="128">
        <v>5.28E-2</v>
      </c>
      <c r="CI15" s="128">
        <v>0.18</v>
      </c>
      <c r="CJ15" s="123">
        <v>0.90300000000000002</v>
      </c>
      <c r="CK15" s="128">
        <v>0.52200000000000002</v>
      </c>
      <c r="CL15" s="128">
        <v>0.85699999999999998</v>
      </c>
      <c r="CM15" s="128">
        <v>0.26200000000000001</v>
      </c>
      <c r="CN15" s="128">
        <v>0.34699999999999998</v>
      </c>
      <c r="CO15" s="128">
        <v>2.5999999999999999E-2</v>
      </c>
      <c r="CP15" s="124">
        <f t="shared" si="24"/>
        <v>0.33967999999999998</v>
      </c>
      <c r="CQ15" s="124">
        <f t="shared" si="25"/>
        <v>0.203787318959185</v>
      </c>
      <c r="CR15" s="125">
        <v>0.75313002121967831</v>
      </c>
      <c r="CS15" s="125">
        <v>0.92371041345810889</v>
      </c>
      <c r="CT15" s="125">
        <v>0.60774842629495407</v>
      </c>
      <c r="CU15" s="125">
        <v>0.48738106132174197</v>
      </c>
      <c r="CV15" s="125">
        <v>0.52460666820478286</v>
      </c>
      <c r="CW15" s="125">
        <v>0.73175469780905678</v>
      </c>
      <c r="CX15" s="125">
        <v>0.374</v>
      </c>
      <c r="CY15" s="125">
        <v>0.55600000000000005</v>
      </c>
      <c r="CZ15" s="125">
        <v>0.53200000000000003</v>
      </c>
      <c r="DA15" s="125">
        <v>0.20300000000000001</v>
      </c>
      <c r="DB15" s="125">
        <f t="shared" si="51"/>
        <v>0.56933312883083231</v>
      </c>
      <c r="DC15" s="125">
        <f t="shared" si="26"/>
        <v>0.53082964431256419</v>
      </c>
      <c r="DD15" s="125">
        <f t="shared" si="27"/>
        <v>0.45450656441541615</v>
      </c>
      <c r="DE15" s="125">
        <f t="shared" si="28"/>
        <v>0.32890173310354454</v>
      </c>
      <c r="DF15" s="125">
        <v>0.34599999999999997</v>
      </c>
      <c r="DG15" s="123">
        <v>0.60476307996051337</v>
      </c>
      <c r="DH15" s="123">
        <v>0.73309476801579465</v>
      </c>
      <c r="DI15" s="123">
        <v>0.14967917077986179</v>
      </c>
      <c r="DJ15" s="123">
        <v>0.10414610069101678</v>
      </c>
      <c r="DK15" s="123">
        <v>4.985192497532083E-2</v>
      </c>
      <c r="DL15" s="123">
        <f t="shared" si="29"/>
        <v>0.32830700888450143</v>
      </c>
      <c r="DM15" s="123">
        <f t="shared" si="30"/>
        <v>0.20297677182895646</v>
      </c>
      <c r="DN15" s="123">
        <v>0.38469999999999999</v>
      </c>
      <c r="DO15" s="121">
        <v>0.35699999999999998</v>
      </c>
      <c r="DP15" s="129">
        <f t="shared" si="31"/>
        <v>0.3566690029615005</v>
      </c>
      <c r="DQ15" s="129">
        <f t="shared" si="32"/>
        <v>0.30321143876323919</v>
      </c>
      <c r="DR15" s="128">
        <v>0.78200000000000003</v>
      </c>
      <c r="DS15" s="128">
        <v>0.74099999999999999</v>
      </c>
      <c r="DT15" s="128">
        <v>0.71699999999999997</v>
      </c>
      <c r="DU15" s="128">
        <v>0.59899999999999998</v>
      </c>
      <c r="DV15" s="128">
        <v>0.53100000000000003</v>
      </c>
      <c r="DW15" s="128">
        <v>0.57099999999999995</v>
      </c>
      <c r="DX15" s="128">
        <v>0.64100000000000001</v>
      </c>
      <c r="DY15" s="129">
        <f t="shared" si="33"/>
        <v>0.65457142857142869</v>
      </c>
      <c r="DZ15" s="129">
        <f t="shared" si="34"/>
        <v>0.64875384163217298</v>
      </c>
      <c r="EA15" s="129">
        <v>3.1E-2</v>
      </c>
      <c r="EB15" s="128">
        <v>7.0000000000000007E-2</v>
      </c>
      <c r="EC15" s="214">
        <v>0.18098742562647824</v>
      </c>
      <c r="ED15" s="214">
        <v>0.28102263459649468</v>
      </c>
      <c r="EE15" s="214">
        <v>0.28400435918390315</v>
      </c>
      <c r="EF15" s="214">
        <v>0.316</v>
      </c>
      <c r="EG15" s="214">
        <v>0.21501488453484602</v>
      </c>
      <c r="EH15" s="214">
        <v>0.23426884853640936</v>
      </c>
      <c r="EI15" s="124">
        <v>6.8216933265453875E-2</v>
      </c>
      <c r="EJ15" s="124">
        <v>0.24225850283525319</v>
      </c>
      <c r="EK15" s="124">
        <v>0.20735062504366331</v>
      </c>
      <c r="EL15" s="124">
        <v>6.4063971211415674E-2</v>
      </c>
      <c r="EM15" s="124">
        <v>0.15350082785215163</v>
      </c>
      <c r="EN15" s="124">
        <v>0.21385919761301186</v>
      </c>
      <c r="EO15" s="124">
        <v>0.17058966110370144</v>
      </c>
      <c r="EP15" s="124">
        <v>0.21338293996271038</v>
      </c>
      <c r="EQ15" s="124">
        <v>0.32680515963446488</v>
      </c>
      <c r="ER15" s="124">
        <v>0.17314160804477483</v>
      </c>
      <c r="ES15" s="124">
        <v>9.1668887055256595E-2</v>
      </c>
      <c r="ET15" s="124">
        <v>0.18869914867959522</v>
      </c>
      <c r="EU15" s="124">
        <v>0.14002237542783122</v>
      </c>
      <c r="EV15" s="124">
        <v>9.5432682985848144E-2</v>
      </c>
      <c r="EW15" s="124">
        <f>+AVERAGE(EC15:EV15)</f>
        <v>0.1930145336596632</v>
      </c>
      <c r="EX15" s="124">
        <f t="shared" si="36"/>
        <v>0.17573171943727209</v>
      </c>
      <c r="EY15" s="124">
        <f t="shared" si="37"/>
        <v>0.1315072668298316</v>
      </c>
      <c r="EZ15" s="124">
        <f t="shared" si="38"/>
        <v>0.11091086673815621</v>
      </c>
      <c r="FA15" s="123">
        <v>0.28199999999999997</v>
      </c>
      <c r="FB15" s="219">
        <v>0.65183554053640247</v>
      </c>
      <c r="FC15" s="219">
        <v>0.40553971921451798</v>
      </c>
      <c r="FD15" s="219">
        <v>0.36191843638480209</v>
      </c>
      <c r="FE15" s="219">
        <v>0.46673488009716396</v>
      </c>
      <c r="FF15" s="219">
        <v>0.21932487155010047</v>
      </c>
      <c r="FG15" s="130">
        <f t="shared" si="39"/>
        <v>0.42107068955659743</v>
      </c>
      <c r="FH15" s="130">
        <f t="shared" si="40"/>
        <v>0.39644966586182306</v>
      </c>
      <c r="FI15" s="126">
        <v>0.36399999999999999</v>
      </c>
      <c r="FJ15" s="126">
        <v>0.66599999999999993</v>
      </c>
      <c r="FK15" s="126">
        <v>0.47299999999999998</v>
      </c>
      <c r="FL15" s="126">
        <v>0.82</v>
      </c>
      <c r="FM15" s="126">
        <v>0.38299999999999995</v>
      </c>
      <c r="FN15" s="126">
        <v>0.38100000000000001</v>
      </c>
      <c r="FO15" s="130">
        <f t="shared" si="41"/>
        <v>0.54459999999999997</v>
      </c>
      <c r="FP15" s="130">
        <f t="shared" si="42"/>
        <v>0.51910426176952984</v>
      </c>
      <c r="FQ15" s="130">
        <f t="shared" si="43"/>
        <v>0.40291767238914933</v>
      </c>
      <c r="FR15" s="130">
        <f t="shared" si="44"/>
        <v>0.38123984616104467</v>
      </c>
      <c r="FS15" s="130">
        <f t="shared" si="45"/>
        <v>0.3476931779815548</v>
      </c>
      <c r="FT15" s="130">
        <f t="shared" si="46"/>
        <v>0.29777865882546406</v>
      </c>
      <c r="FU15" s="126">
        <v>0.18925389951058061</v>
      </c>
      <c r="FV15" s="131">
        <v>0.372</v>
      </c>
      <c r="FW15" s="131">
        <v>0.16200000000000001</v>
      </c>
      <c r="FX15" s="131">
        <v>2.7799999999999998E-2</v>
      </c>
      <c r="FY15" s="131">
        <v>0.32600000000000001</v>
      </c>
      <c r="FZ15" s="131">
        <f t="shared" si="47"/>
        <v>0.21541077990211616</v>
      </c>
      <c r="GA15" s="131">
        <f t="shared" si="48"/>
        <v>0.15954126727384751</v>
      </c>
      <c r="GB15" s="122">
        <v>7.0000000000000007E-2</v>
      </c>
      <c r="GC15" s="132">
        <v>1.5599999999999999E-2</v>
      </c>
      <c r="GD15" s="123">
        <f t="shared" si="49"/>
        <v>4.2800000000000005E-2</v>
      </c>
      <c r="GE15" s="123">
        <f t="shared" si="52"/>
        <v>3.304542328371661E-2</v>
      </c>
    </row>
    <row r="16" spans="1:417" x14ac:dyDescent="0.2">
      <c r="A16" s="10" t="s">
        <v>72</v>
      </c>
      <c r="B16" s="122">
        <v>0.157</v>
      </c>
      <c r="C16" s="122">
        <v>1.0999999999999999E-2</v>
      </c>
      <c r="D16" s="125">
        <v>0.52800000000000002</v>
      </c>
      <c r="E16" s="125">
        <v>0.32900000000000001</v>
      </c>
      <c r="F16" s="125">
        <v>0.128</v>
      </c>
      <c r="G16" s="125">
        <v>0.78800000000000003</v>
      </c>
      <c r="H16" s="125">
        <v>6.4000000000000001E-2</v>
      </c>
      <c r="I16" s="125">
        <f t="shared" si="50"/>
        <v>0.36740000000000006</v>
      </c>
      <c r="J16" s="125">
        <f t="shared" si="0"/>
        <v>0.25700951159862923</v>
      </c>
      <c r="K16" s="125">
        <v>0.108</v>
      </c>
      <c r="L16" s="125">
        <v>0.06</v>
      </c>
      <c r="M16" s="125">
        <v>0.33400000000000002</v>
      </c>
      <c r="N16" s="125">
        <v>0.33600000000000002</v>
      </c>
      <c r="O16" s="125">
        <v>0.27100000000000002</v>
      </c>
      <c r="P16" s="125">
        <v>0.158</v>
      </c>
      <c r="Q16" s="125">
        <v>2.5999999999999999E-2</v>
      </c>
      <c r="R16" s="125">
        <v>8.5999999999999993E-2</v>
      </c>
      <c r="S16" s="125">
        <v>0.46100000000000002</v>
      </c>
      <c r="T16" s="125">
        <v>0.2</v>
      </c>
      <c r="U16" s="125">
        <v>0.223</v>
      </c>
      <c r="V16" s="125">
        <v>0.39700000000000002</v>
      </c>
      <c r="W16" s="125">
        <v>6.8000000000000005E-2</v>
      </c>
      <c r="X16" s="125">
        <v>8.2000000000000003E-2</v>
      </c>
      <c r="Y16" s="125">
        <v>0.53200000000000003</v>
      </c>
      <c r="Z16" s="125">
        <v>0.19800000000000001</v>
      </c>
      <c r="AA16" s="125">
        <v>6.5000000000000002E-2</v>
      </c>
      <c r="AB16" s="125">
        <v>0.13300000000000001</v>
      </c>
      <c r="AC16" s="125">
        <v>3.7999999999999999E-2</v>
      </c>
      <c r="AD16" s="125">
        <v>5.3999999999999999E-2</v>
      </c>
      <c r="AE16" s="125">
        <f t="shared" si="1"/>
        <v>0.19149999999999998</v>
      </c>
      <c r="AF16" s="125">
        <f t="shared" si="2"/>
        <v>0.13760092645744895</v>
      </c>
      <c r="AG16" s="125">
        <f t="shared" si="3"/>
        <v>0.25714999999999999</v>
      </c>
      <c r="AH16" s="125">
        <f t="shared" si="4"/>
        <v>0.18805516984211801</v>
      </c>
      <c r="AI16" s="125">
        <v>9.7000000000000003E-2</v>
      </c>
      <c r="AJ16" s="125">
        <v>3.4000000000000002E-2</v>
      </c>
      <c r="AK16" s="125">
        <f t="shared" si="5"/>
        <v>0.96599999999999997</v>
      </c>
      <c r="AL16" s="126">
        <v>0.311</v>
      </c>
      <c r="AM16" s="126">
        <f t="shared" si="6"/>
        <v>0.68900000000000006</v>
      </c>
      <c r="AN16" s="126">
        <v>5.6000000000000001E-2</v>
      </c>
      <c r="AO16" s="126">
        <f t="shared" si="7"/>
        <v>0.94399999999999995</v>
      </c>
      <c r="AP16" s="126">
        <v>0.33</v>
      </c>
      <c r="AQ16" s="126">
        <v>0.35599999999999998</v>
      </c>
      <c r="AR16" s="126">
        <v>0.34100000000000003</v>
      </c>
      <c r="AS16" s="126">
        <v>0.313</v>
      </c>
      <c r="AT16" s="126">
        <v>0.192</v>
      </c>
      <c r="AU16" s="126">
        <v>0.20499999999999999</v>
      </c>
      <c r="AV16" s="126">
        <v>0.27500000000000002</v>
      </c>
      <c r="AW16" s="125">
        <f t="shared" si="8"/>
        <v>0.3695</v>
      </c>
      <c r="AX16" s="125">
        <f t="shared" si="9"/>
        <v>0.32617660196759712</v>
      </c>
      <c r="AY16" s="126">
        <v>0.12</v>
      </c>
      <c r="AZ16" s="126">
        <f t="shared" si="10"/>
        <v>0.88</v>
      </c>
      <c r="BA16" s="126">
        <v>0.443</v>
      </c>
      <c r="BB16" s="126">
        <v>0.107</v>
      </c>
      <c r="BC16" s="126">
        <f t="shared" si="11"/>
        <v>0.89300000000000002</v>
      </c>
      <c r="BD16" s="126">
        <v>0.06</v>
      </c>
      <c r="BE16" s="126">
        <f t="shared" si="12"/>
        <v>0.94</v>
      </c>
      <c r="BF16" s="126">
        <v>0.06</v>
      </c>
      <c r="BG16" s="126">
        <f t="shared" si="13"/>
        <v>0.94</v>
      </c>
      <c r="BH16" s="126">
        <v>0.13200000000000001</v>
      </c>
      <c r="BI16" s="125">
        <f t="shared" si="14"/>
        <v>0.70466666666666666</v>
      </c>
      <c r="BJ16" s="125">
        <f t="shared" si="15"/>
        <v>0.58626583022859979</v>
      </c>
      <c r="BK16" s="125">
        <f t="shared" si="16"/>
        <v>0.56523333333333337</v>
      </c>
      <c r="BL16" s="125">
        <f t="shared" si="17"/>
        <v>0.41524373987894997</v>
      </c>
      <c r="BM16" s="125">
        <f t="shared" si="18"/>
        <v>0.24759583333333335</v>
      </c>
      <c r="BN16" s="125">
        <f t="shared" si="19"/>
        <v>0.10776312505723104</v>
      </c>
      <c r="BO16" s="126">
        <v>0.58599999999999997</v>
      </c>
      <c r="BP16" s="126">
        <v>0.74099999999999999</v>
      </c>
      <c r="BQ16" s="126">
        <v>7.1999999999999995E-2</v>
      </c>
      <c r="BR16" s="126">
        <f t="shared" si="20"/>
        <v>0.46633333333333332</v>
      </c>
      <c r="BS16" s="126">
        <f t="shared" si="21"/>
        <v>0.31502820609104254</v>
      </c>
      <c r="BT16" s="128">
        <v>0.69099999999999995</v>
      </c>
      <c r="BU16" s="128">
        <v>0.69299999999999995</v>
      </c>
      <c r="BV16" s="128">
        <v>0.79200000000000004</v>
      </c>
      <c r="BW16" s="128">
        <v>0.15</v>
      </c>
      <c r="BX16" s="128">
        <v>0.13400000000000001</v>
      </c>
      <c r="BY16" s="128">
        <v>0.36499999999999999</v>
      </c>
      <c r="BZ16" s="128">
        <v>9.4E-2</v>
      </c>
      <c r="CA16" s="128">
        <v>0.45700000000000002</v>
      </c>
      <c r="CB16" s="128">
        <v>0.155</v>
      </c>
      <c r="CC16" s="128">
        <v>1.0999999999999999E-2</v>
      </c>
      <c r="CD16" s="128">
        <f t="shared" si="22"/>
        <v>0.35419999999999996</v>
      </c>
      <c r="CE16" s="128">
        <f t="shared" si="23"/>
        <v>0.21424928548825231</v>
      </c>
      <c r="CF16" s="128">
        <v>0.14000000000000001</v>
      </c>
      <c r="CG16" s="128">
        <v>7.9799999999999996E-2</v>
      </c>
      <c r="CH16" s="128">
        <v>2.8400000000000002E-2</v>
      </c>
      <c r="CI16" s="128">
        <v>0.183</v>
      </c>
      <c r="CJ16" s="123">
        <v>0.91400000000000003</v>
      </c>
      <c r="CK16" s="128">
        <v>0.41499999999999998</v>
      </c>
      <c r="CL16" s="128">
        <v>0.90100000000000002</v>
      </c>
      <c r="CM16" s="128">
        <v>0.39100000000000001</v>
      </c>
      <c r="CN16" s="128">
        <v>0.34</v>
      </c>
      <c r="CO16" s="128">
        <v>4.2999999999999997E-2</v>
      </c>
      <c r="CP16" s="124">
        <f t="shared" si="24"/>
        <v>0.34351999999999999</v>
      </c>
      <c r="CQ16" s="124">
        <f t="shared" si="25"/>
        <v>0.20205721235218971</v>
      </c>
      <c r="CR16" s="125">
        <v>0.82534311399130744</v>
      </c>
      <c r="CS16" s="125">
        <v>0.9429532292573769</v>
      </c>
      <c r="CT16" s="125">
        <v>0.71146057039679689</v>
      </c>
      <c r="CU16" s="125">
        <v>0.45346456941396585</v>
      </c>
      <c r="CV16" s="125">
        <v>0.52319763152496612</v>
      </c>
      <c r="CW16" s="125">
        <v>0.69484534820199284</v>
      </c>
      <c r="CX16" s="125">
        <v>0.19500000000000001</v>
      </c>
      <c r="CY16" s="125">
        <v>0.64800000000000002</v>
      </c>
      <c r="CZ16" s="125">
        <v>0.60899999999999999</v>
      </c>
      <c r="DA16" s="125">
        <v>0.20899999999999999</v>
      </c>
      <c r="DB16" s="125">
        <f t="shared" si="51"/>
        <v>0.58122644627864051</v>
      </c>
      <c r="DC16" s="125">
        <f t="shared" si="26"/>
        <v>0.52080434642005857</v>
      </c>
      <c r="DD16" s="125">
        <f t="shared" si="27"/>
        <v>0.46237322313932028</v>
      </c>
      <c r="DE16" s="125">
        <f t="shared" si="28"/>
        <v>0.32439524413674925</v>
      </c>
      <c r="DF16" s="125">
        <v>0.32700000000000001</v>
      </c>
      <c r="DG16" s="123">
        <v>0.47179098826202198</v>
      </c>
      <c r="DH16" s="123">
        <v>0.6344187807648618</v>
      </c>
      <c r="DI16" s="123">
        <v>0.18951154865581218</v>
      </c>
      <c r="DJ16" s="123">
        <v>0.12911775842483908</v>
      </c>
      <c r="DK16" s="123">
        <v>5.7553956834532377E-2</v>
      </c>
      <c r="DL16" s="123">
        <f t="shared" si="29"/>
        <v>0.29647860658841346</v>
      </c>
      <c r="DM16" s="123">
        <f t="shared" si="30"/>
        <v>0.21133163033120844</v>
      </c>
      <c r="DN16" s="123">
        <v>0.65639999999999998</v>
      </c>
      <c r="DO16" s="129">
        <v>0.15</v>
      </c>
      <c r="DP16" s="129">
        <f t="shared" si="31"/>
        <v>0.36762620219613779</v>
      </c>
      <c r="DQ16" s="129">
        <f t="shared" si="32"/>
        <v>0.27504775951735694</v>
      </c>
      <c r="DR16" s="128">
        <v>0.84499999999999997</v>
      </c>
      <c r="DS16" s="128">
        <v>0.80400000000000005</v>
      </c>
      <c r="DT16" s="128">
        <v>0.81100000000000005</v>
      </c>
      <c r="DU16" s="128">
        <v>0.73499999999999999</v>
      </c>
      <c r="DV16" s="128">
        <v>0.65500000000000003</v>
      </c>
      <c r="DW16" s="128">
        <v>0.69199999999999995</v>
      </c>
      <c r="DX16" s="128">
        <v>0.76</v>
      </c>
      <c r="DY16" s="129">
        <f t="shared" si="33"/>
        <v>0.75742857142857134</v>
      </c>
      <c r="DZ16" s="129">
        <f t="shared" si="34"/>
        <v>0.75474009066000358</v>
      </c>
      <c r="EA16" s="129">
        <v>1.9E-2</v>
      </c>
      <c r="EB16" s="128">
        <v>0.15</v>
      </c>
      <c r="EC16" s="214">
        <v>5.2607725860586853E-2</v>
      </c>
      <c r="ED16" s="214">
        <v>5.7904191579705812E-2</v>
      </c>
      <c r="EE16" s="214">
        <v>0.11315481663759068</v>
      </c>
      <c r="EF16" s="214">
        <v>0.11293431246502571</v>
      </c>
      <c r="EG16" s="214">
        <v>8.3094370368590062E-2</v>
      </c>
      <c r="EH16" s="214">
        <v>0.11614517699130883</v>
      </c>
      <c r="EI16" s="124">
        <v>3.4635767743120625E-2</v>
      </c>
      <c r="EJ16" s="124">
        <v>5.7334902249722736E-2</v>
      </c>
      <c r="EK16" s="124">
        <v>9.874785919941044E-2</v>
      </c>
      <c r="EL16" s="124">
        <v>8.6556309776892937E-2</v>
      </c>
      <c r="EM16" s="124">
        <v>7.9366125403575793E-2</v>
      </c>
      <c r="EN16" s="124">
        <v>8.6868069513185098E-2</v>
      </c>
      <c r="EO16" s="124">
        <v>6.5271225625878657E-2</v>
      </c>
      <c r="EP16" s="124">
        <v>7.7202518590090349E-2</v>
      </c>
      <c r="EQ16" s="124">
        <v>0.1150543882637666</v>
      </c>
      <c r="ER16" s="124">
        <v>9.2828576118430831E-2</v>
      </c>
      <c r="ES16" s="124">
        <v>0.10592406091932392</v>
      </c>
      <c r="ET16" s="124">
        <v>0.10342480445831949</v>
      </c>
      <c r="EU16" s="124">
        <v>6.1336655584910894E-2</v>
      </c>
      <c r="EV16" s="124">
        <v>7.9877503097415314E-2</v>
      </c>
      <c r="EW16" s="124">
        <f t="shared" si="35"/>
        <v>8.401346802234258E-2</v>
      </c>
      <c r="EX16" s="124">
        <f t="shared" si="36"/>
        <v>8.0387763774202842E-2</v>
      </c>
      <c r="EY16" s="124">
        <f t="shared" si="37"/>
        <v>0.11700673401117129</v>
      </c>
      <c r="EZ16" s="124">
        <f t="shared" si="38"/>
        <v>0.109809674282963</v>
      </c>
      <c r="FA16" s="123">
        <v>0.26400000000000001</v>
      </c>
      <c r="FB16" s="219">
        <v>0.69309467448936157</v>
      </c>
      <c r="FC16" s="219">
        <v>0.43278950562568158</v>
      </c>
      <c r="FD16" s="219">
        <v>0.70321657802587667</v>
      </c>
      <c r="FE16" s="219">
        <v>0.57901434164745469</v>
      </c>
      <c r="FF16" s="219">
        <v>0.50262042485632941</v>
      </c>
      <c r="FG16" s="130">
        <f t="shared" si="39"/>
        <v>0.58214710492894084</v>
      </c>
      <c r="FH16" s="130">
        <f t="shared" si="40"/>
        <v>0.57229185836467455</v>
      </c>
      <c r="FI16" s="126">
        <v>0.20899999999999999</v>
      </c>
      <c r="FJ16" s="126">
        <v>0.622</v>
      </c>
      <c r="FK16" s="126">
        <v>0.60599999999999998</v>
      </c>
      <c r="FL16" s="126">
        <v>0.82700000000000007</v>
      </c>
      <c r="FM16" s="126">
        <v>0.53700000000000003</v>
      </c>
      <c r="FN16" s="126">
        <v>0.81700000000000006</v>
      </c>
      <c r="FO16" s="130">
        <f t="shared" si="41"/>
        <v>0.68180000000000007</v>
      </c>
      <c r="FP16" s="130">
        <f t="shared" si="42"/>
        <v>0.6717272583858509</v>
      </c>
      <c r="FQ16" s="130">
        <f t="shared" si="43"/>
        <v>0.43423677623223522</v>
      </c>
      <c r="FR16" s="130">
        <f t="shared" si="44"/>
        <v>0.38162796205862953</v>
      </c>
      <c r="FS16" s="130">
        <f t="shared" si="45"/>
        <v>0.36724498226008551</v>
      </c>
      <c r="FT16" s="130">
        <f t="shared" si="46"/>
        <v>0.30232202469277747</v>
      </c>
      <c r="FU16" s="126">
        <v>0.1371204238009649</v>
      </c>
      <c r="FV16" s="131">
        <v>0.19700000000000001</v>
      </c>
      <c r="FW16" s="131">
        <v>7.7499999999999999E-2</v>
      </c>
      <c r="FX16" s="131">
        <v>2.7300000000000001E-2</v>
      </c>
      <c r="FY16" s="131">
        <v>0.17899999999999999</v>
      </c>
      <c r="FZ16" s="131">
        <f t="shared" si="47"/>
        <v>0.12358408476019297</v>
      </c>
      <c r="GA16" s="131">
        <f t="shared" si="48"/>
        <v>0.10045629363875844</v>
      </c>
      <c r="GB16" s="122">
        <v>7.0000000000000007E-2</v>
      </c>
      <c r="GC16" s="132">
        <v>4.1300000000000003E-2</v>
      </c>
      <c r="GD16" s="123">
        <f t="shared" si="49"/>
        <v>5.5650000000000005E-2</v>
      </c>
      <c r="GE16" s="123">
        <f t="shared" si="52"/>
        <v>5.3768020235080261E-2</v>
      </c>
    </row>
    <row r="17" spans="1:187" x14ac:dyDescent="0.2">
      <c r="A17" s="10" t="s">
        <v>152</v>
      </c>
      <c r="B17" s="122">
        <v>0.1409</v>
      </c>
      <c r="C17" s="122">
        <v>1.47E-2</v>
      </c>
      <c r="D17" s="125">
        <v>0.46600000000000003</v>
      </c>
      <c r="E17" s="125">
        <v>0.27500000000000002</v>
      </c>
      <c r="F17" s="125">
        <v>0.10299999999999999</v>
      </c>
      <c r="G17" s="125">
        <v>0.77100000000000002</v>
      </c>
      <c r="H17" s="125">
        <v>2.9000000000000001E-2</v>
      </c>
      <c r="I17" s="125">
        <f t="shared" si="50"/>
        <v>0.32880000000000004</v>
      </c>
      <c r="J17" s="125">
        <f t="shared" si="0"/>
        <v>0.19678937310585609</v>
      </c>
      <c r="K17" s="125">
        <v>0.108</v>
      </c>
      <c r="L17" s="125">
        <v>8.3000000000000004E-2</v>
      </c>
      <c r="M17" s="125">
        <v>0.26800000000000002</v>
      </c>
      <c r="N17" s="125">
        <v>0.28100000000000003</v>
      </c>
      <c r="O17" s="125">
        <v>0.155</v>
      </c>
      <c r="P17" s="125">
        <v>0.113</v>
      </c>
      <c r="Q17" s="125">
        <v>4.7E-2</v>
      </c>
      <c r="R17" s="125">
        <v>7.2999999999999995E-2</v>
      </c>
      <c r="S17" s="125">
        <v>0.27600000000000002</v>
      </c>
      <c r="T17" s="125">
        <v>0.14899999999999999</v>
      </c>
      <c r="U17" s="125">
        <v>0.14899999999999999</v>
      </c>
      <c r="V17" s="125">
        <v>0.23499999999999999</v>
      </c>
      <c r="W17" s="125">
        <v>5.8000000000000003E-2</v>
      </c>
      <c r="X17" s="125">
        <v>4.7E-2</v>
      </c>
      <c r="Y17" s="125">
        <v>0.58799999999999997</v>
      </c>
      <c r="Z17" s="125">
        <v>0.14599999999999999</v>
      </c>
      <c r="AA17" s="125">
        <v>6.0999999999999999E-2</v>
      </c>
      <c r="AB17" s="125">
        <v>6.6000000000000003E-2</v>
      </c>
      <c r="AC17" s="125">
        <v>4.1000000000000002E-2</v>
      </c>
      <c r="AD17" s="125">
        <v>6.0999999999999999E-2</v>
      </c>
      <c r="AE17" s="125">
        <f t="shared" si="1"/>
        <v>0.15024999999999997</v>
      </c>
      <c r="AF17" s="125">
        <f t="shared" si="2"/>
        <v>0.1140087909134645</v>
      </c>
      <c r="AG17" s="125">
        <f t="shared" si="3"/>
        <v>0.25882500000000003</v>
      </c>
      <c r="AH17" s="125">
        <f t="shared" si="4"/>
        <v>0.14978557504785733</v>
      </c>
      <c r="AI17" s="125">
        <v>0.14499999999999999</v>
      </c>
      <c r="AJ17" s="125">
        <v>7.6999999999999999E-2</v>
      </c>
      <c r="AK17" s="125">
        <f t="shared" si="5"/>
        <v>0.92300000000000004</v>
      </c>
      <c r="AL17" s="126">
        <v>0.186</v>
      </c>
      <c r="AM17" s="126">
        <f t="shared" si="6"/>
        <v>0.81400000000000006</v>
      </c>
      <c r="AN17" s="126">
        <v>5.2999999999999999E-2</v>
      </c>
      <c r="AO17" s="126">
        <f t="shared" si="7"/>
        <v>0.94699999999999995</v>
      </c>
      <c r="AP17" s="126">
        <v>0.33</v>
      </c>
      <c r="AQ17" s="126">
        <v>0.35</v>
      </c>
      <c r="AR17" s="126">
        <v>0.39800000000000002</v>
      </c>
      <c r="AS17" s="126">
        <v>0.35</v>
      </c>
      <c r="AT17" s="126">
        <v>0.184</v>
      </c>
      <c r="AU17" s="126">
        <v>0.20100000000000001</v>
      </c>
      <c r="AV17" s="126">
        <v>0.28000000000000003</v>
      </c>
      <c r="AW17" s="125">
        <f t="shared" si="8"/>
        <v>0.38</v>
      </c>
      <c r="AX17" s="125">
        <f t="shared" si="9"/>
        <v>0.33477797179756769</v>
      </c>
      <c r="AY17" s="126">
        <v>0.13700000000000001</v>
      </c>
      <c r="AZ17" s="126">
        <f t="shared" si="10"/>
        <v>0.86299999999999999</v>
      </c>
      <c r="BA17" s="126">
        <v>0.55400000000000005</v>
      </c>
      <c r="BB17" s="126">
        <v>8.2000000000000003E-2</v>
      </c>
      <c r="BC17" s="126">
        <f t="shared" si="11"/>
        <v>0.91800000000000004</v>
      </c>
      <c r="BD17" s="126">
        <v>0.04</v>
      </c>
      <c r="BE17" s="126">
        <f t="shared" si="12"/>
        <v>0.96</v>
      </c>
      <c r="BF17" s="126">
        <v>4.2999999999999997E-2</v>
      </c>
      <c r="BG17" s="126">
        <f t="shared" si="13"/>
        <v>0.95699999999999996</v>
      </c>
      <c r="BH17" s="126">
        <v>8.4000000000000005E-2</v>
      </c>
      <c r="BI17" s="125">
        <f t="shared" si="14"/>
        <v>0.72266666666666657</v>
      </c>
      <c r="BJ17" s="125">
        <f t="shared" si="15"/>
        <v>0.56881488116634571</v>
      </c>
      <c r="BK17" s="125">
        <f t="shared" si="16"/>
        <v>0.59693333333333332</v>
      </c>
      <c r="BL17" s="125">
        <f t="shared" si="17"/>
        <v>0.4606641188650617</v>
      </c>
      <c r="BM17" s="125">
        <f t="shared" si="18"/>
        <v>0.25283958333333334</v>
      </c>
      <c r="BN17" s="125">
        <f t="shared" si="19"/>
        <v>0.10933788690159293</v>
      </c>
      <c r="BO17" s="126">
        <v>0.65200000000000002</v>
      </c>
      <c r="BP17" s="126">
        <v>0.71899999999999997</v>
      </c>
      <c r="BQ17" s="126">
        <v>0.106</v>
      </c>
      <c r="BR17" s="126">
        <f t="shared" si="20"/>
        <v>0.49233333333333335</v>
      </c>
      <c r="BS17" s="126">
        <f t="shared" si="21"/>
        <v>0.36764397277484856</v>
      </c>
      <c r="BT17" s="128">
        <v>0.65900000000000003</v>
      </c>
      <c r="BU17" s="128">
        <v>0.58099999999999996</v>
      </c>
      <c r="BV17" s="128">
        <v>0.77900000000000003</v>
      </c>
      <c r="BW17" s="128">
        <v>9.1999999999999998E-2</v>
      </c>
      <c r="BX17" s="128">
        <v>0.09</v>
      </c>
      <c r="BY17" s="128">
        <v>0.375</v>
      </c>
      <c r="BZ17" s="128">
        <v>8.5000000000000006E-2</v>
      </c>
      <c r="CA17" s="128">
        <v>0.39500000000000002</v>
      </c>
      <c r="CB17" s="128">
        <v>0.2</v>
      </c>
      <c r="CC17" s="128">
        <v>3.0000000000000001E-3</v>
      </c>
      <c r="CD17" s="128">
        <f t="shared" si="22"/>
        <v>0.32590000000000002</v>
      </c>
      <c r="CE17" s="128">
        <f t="shared" si="23"/>
        <v>0.16868745579376349</v>
      </c>
      <c r="CF17" s="128">
        <v>6.0999999999999999E-2</v>
      </c>
      <c r="CG17" s="128">
        <v>6.5000000000000002E-2</v>
      </c>
      <c r="CH17" s="128">
        <v>4.1799999999999997E-2</v>
      </c>
      <c r="CI17" s="128">
        <v>0.15110000000000001</v>
      </c>
      <c r="CJ17" s="123">
        <v>0.84860000000000002</v>
      </c>
      <c r="CK17" s="128">
        <v>0.29699999999999999</v>
      </c>
      <c r="CL17" s="128">
        <v>0.83499999999999996</v>
      </c>
      <c r="CM17" s="128">
        <v>0.19700000000000001</v>
      </c>
      <c r="CN17" s="128">
        <v>0.32</v>
      </c>
      <c r="CO17" s="128">
        <v>1.7999999999999999E-2</v>
      </c>
      <c r="CP17" s="124">
        <f t="shared" si="24"/>
        <v>0.28344999999999998</v>
      </c>
      <c r="CQ17" s="124">
        <f t="shared" si="25"/>
        <v>0.15054691484735597</v>
      </c>
      <c r="CR17" s="125">
        <v>0.81749362870254128</v>
      </c>
      <c r="CS17" s="125">
        <v>0.94399203677344934</v>
      </c>
      <c r="CT17" s="125">
        <v>0.78129831756303925</v>
      </c>
      <c r="CU17" s="125">
        <v>0.66110960049229395</v>
      </c>
      <c r="CV17" s="125">
        <v>0.6935744984334612</v>
      </c>
      <c r="CW17" s="125">
        <v>0.87556338564269676</v>
      </c>
      <c r="CX17" s="125">
        <v>0.45200000000000001</v>
      </c>
      <c r="CY17" s="125">
        <v>0.88400000000000001</v>
      </c>
      <c r="CZ17" s="125">
        <v>0.77</v>
      </c>
      <c r="DA17" s="125">
        <v>0.187</v>
      </c>
      <c r="DB17" s="125">
        <f t="shared" si="51"/>
        <v>0.70660314676074809</v>
      </c>
      <c r="DC17" s="125">
        <f t="shared" si="26"/>
        <v>0.65220583515243036</v>
      </c>
      <c r="DD17" s="125">
        <f t="shared" si="27"/>
        <v>0.49502657338037404</v>
      </c>
      <c r="DE17" s="125">
        <f t="shared" si="28"/>
        <v>0.31334896892704406</v>
      </c>
      <c r="DF17" s="125">
        <v>0.42699999999999999</v>
      </c>
      <c r="DG17" s="123">
        <v>0.56171210788625037</v>
      </c>
      <c r="DH17" s="123">
        <v>0.67751392553503376</v>
      </c>
      <c r="DI17" s="123">
        <v>0.26649076517150394</v>
      </c>
      <c r="DJ17" s="123">
        <v>0.19759601289944298</v>
      </c>
      <c r="DK17" s="123">
        <v>0.1111111111111111</v>
      </c>
      <c r="DL17" s="123">
        <f t="shared" si="29"/>
        <v>0.36288478452066841</v>
      </c>
      <c r="DM17" s="123">
        <f t="shared" si="30"/>
        <v>0.29480168981135219</v>
      </c>
      <c r="DN17" s="123">
        <v>0.70930000000000004</v>
      </c>
      <c r="DO17" s="129">
        <v>0.49</v>
      </c>
      <c r="DP17" s="129">
        <f t="shared" si="31"/>
        <v>0.52072826150688944</v>
      </c>
      <c r="DQ17" s="129">
        <f t="shared" si="32"/>
        <v>0.4679347909147214</v>
      </c>
      <c r="DR17" s="128">
        <v>0.78800000000000003</v>
      </c>
      <c r="DS17" s="128">
        <v>0.74299999999999999</v>
      </c>
      <c r="DT17" s="128">
        <v>0.76</v>
      </c>
      <c r="DU17" s="128">
        <v>0.64</v>
      </c>
      <c r="DV17" s="128">
        <v>0.56200000000000006</v>
      </c>
      <c r="DW17" s="128">
        <v>0.58499999999999996</v>
      </c>
      <c r="DX17" s="128">
        <v>0.67600000000000005</v>
      </c>
      <c r="DY17" s="129">
        <f t="shared" si="33"/>
        <v>0.67914285714285716</v>
      </c>
      <c r="DZ17" s="129">
        <f t="shared" si="34"/>
        <v>0.67416146554160195</v>
      </c>
      <c r="EA17" s="129">
        <v>0.105</v>
      </c>
      <c r="EB17" s="128">
        <v>9.1999999999999998E-2</v>
      </c>
      <c r="EC17" s="214">
        <v>0.36532431521098402</v>
      </c>
      <c r="ED17" s="214">
        <v>0.40564292412294506</v>
      </c>
      <c r="EE17" s="214">
        <v>0.53932691434507618</v>
      </c>
      <c r="EF17" s="214">
        <v>0.44144089035636236</v>
      </c>
      <c r="EG17" s="214">
        <v>0.43761241866001382</v>
      </c>
      <c r="EH17" s="214">
        <v>0.50429451573379014</v>
      </c>
      <c r="EI17" s="124">
        <v>0.31182281164690001</v>
      </c>
      <c r="EJ17" s="124">
        <v>0.3725335364172529</v>
      </c>
      <c r="EK17" s="124">
        <v>0.40385188803054467</v>
      </c>
      <c r="EL17" s="124">
        <v>0.48253564039050789</v>
      </c>
      <c r="EM17" s="124">
        <v>0.39623055858582368</v>
      </c>
      <c r="EN17" s="124">
        <v>0.38738208020060649</v>
      </c>
      <c r="EO17" s="124">
        <v>0.4504167570966508</v>
      </c>
      <c r="EP17" s="124">
        <v>0.3933336843994219</v>
      </c>
      <c r="EQ17" s="124">
        <v>0.55008189712105748</v>
      </c>
      <c r="ER17" s="124">
        <v>0.50265074302174229</v>
      </c>
      <c r="ES17" s="124">
        <v>0.42729070594168983</v>
      </c>
      <c r="ET17" s="124">
        <v>0.41512602707077628</v>
      </c>
      <c r="EU17" s="124">
        <v>0.32273891419063427</v>
      </c>
      <c r="EV17" s="124">
        <v>0.37369677735173518</v>
      </c>
      <c r="EW17" s="124">
        <f t="shared" si="35"/>
        <v>0.42416669999472589</v>
      </c>
      <c r="EX17" s="124">
        <f t="shared" si="36"/>
        <v>0.41940039689230674</v>
      </c>
      <c r="EY17" s="124">
        <f t="shared" si="37"/>
        <v>0.25808334999736293</v>
      </c>
      <c r="EZ17" s="124">
        <f t="shared" si="38"/>
        <v>0.19643023319767305</v>
      </c>
      <c r="FA17" s="123">
        <v>0.27800000000000002</v>
      </c>
      <c r="FB17" s="219">
        <v>0.69888680284109583</v>
      </c>
      <c r="FC17" s="219">
        <v>0.31171835103595041</v>
      </c>
      <c r="FD17" s="219">
        <v>0.39987742348850924</v>
      </c>
      <c r="FE17" s="219">
        <v>0.63066213333989241</v>
      </c>
      <c r="FF17" s="219">
        <v>0.37721269339253255</v>
      </c>
      <c r="FG17" s="130">
        <f t="shared" si="39"/>
        <v>0.48367148081959604</v>
      </c>
      <c r="FH17" s="130">
        <f t="shared" si="40"/>
        <v>0.46057019490632095</v>
      </c>
      <c r="FI17" s="126">
        <v>0.32800000000000001</v>
      </c>
      <c r="FJ17" s="126">
        <v>0.746</v>
      </c>
      <c r="FK17" s="126">
        <v>0.505</v>
      </c>
      <c r="FL17" s="126">
        <v>0.36799999999999999</v>
      </c>
      <c r="FM17" s="126">
        <v>0.37</v>
      </c>
      <c r="FN17" s="126">
        <v>0.39</v>
      </c>
      <c r="FO17" s="130">
        <f t="shared" si="41"/>
        <v>0.4758</v>
      </c>
      <c r="FP17" s="130">
        <f t="shared" si="42"/>
        <v>0.45732913634252315</v>
      </c>
      <c r="FQ17" s="130">
        <f t="shared" si="43"/>
        <v>0.39136787020489905</v>
      </c>
      <c r="FR17" s="130">
        <f t="shared" si="44"/>
        <v>0.37227239656587963</v>
      </c>
      <c r="FS17" s="130">
        <f t="shared" si="45"/>
        <v>0.41050913839619063</v>
      </c>
      <c r="FT17" s="130">
        <f t="shared" si="46"/>
        <v>0.34360880930172577</v>
      </c>
      <c r="FU17" s="126">
        <v>0.2748576951992267</v>
      </c>
      <c r="FV17" s="131">
        <v>0.223</v>
      </c>
      <c r="FW17" s="131">
        <v>0.20200000000000001</v>
      </c>
      <c r="FX17" s="131">
        <v>2.8199999999999999E-2</v>
      </c>
      <c r="FY17" s="131">
        <v>0.318</v>
      </c>
      <c r="FZ17" s="131">
        <f t="shared" si="47"/>
        <v>0.20921153903984538</v>
      </c>
      <c r="GA17" s="131">
        <f t="shared" si="48"/>
        <v>0.16184082075800854</v>
      </c>
      <c r="GB17" s="122">
        <v>0.11</v>
      </c>
      <c r="GC17" s="132">
        <v>5.1299999999999998E-2</v>
      </c>
      <c r="GD17" s="123">
        <f t="shared" si="49"/>
        <v>8.0649999999999999E-2</v>
      </c>
      <c r="GE17" s="123">
        <f t="shared" si="52"/>
        <v>7.511990415329349E-2</v>
      </c>
    </row>
    <row r="18" spans="1:187" x14ac:dyDescent="0.2">
      <c r="A18" s="11" t="s">
        <v>226</v>
      </c>
      <c r="B18" s="122">
        <v>4.41E-2</v>
      </c>
      <c r="C18" s="122">
        <v>3.5999999999999999E-3</v>
      </c>
      <c r="D18" s="125">
        <v>0.627</v>
      </c>
      <c r="E18" s="125">
        <v>0.29499999999999998</v>
      </c>
      <c r="F18" s="125">
        <v>6.5000000000000002E-2</v>
      </c>
      <c r="G18" s="125">
        <v>0.56000000000000005</v>
      </c>
      <c r="H18" s="125">
        <v>1.7000000000000001E-2</v>
      </c>
      <c r="I18" s="125">
        <f t="shared" si="50"/>
        <v>0.31279999999999997</v>
      </c>
      <c r="J18" s="125">
        <f t="shared" si="0"/>
        <v>0.16282758152914883</v>
      </c>
      <c r="K18" s="125">
        <v>0.15</v>
      </c>
      <c r="L18" s="125">
        <v>5.2999999999999999E-2</v>
      </c>
      <c r="M18" s="125">
        <v>0.36099999999999999</v>
      </c>
      <c r="N18" s="125">
        <v>0.33200000000000002</v>
      </c>
      <c r="O18" s="125">
        <v>0.223</v>
      </c>
      <c r="P18" s="125">
        <v>0.11700000000000001</v>
      </c>
      <c r="Q18" s="125">
        <v>4.8000000000000001E-2</v>
      </c>
      <c r="R18" s="125">
        <v>7.0000000000000007E-2</v>
      </c>
      <c r="S18" s="125">
        <v>0.42599999999999999</v>
      </c>
      <c r="T18" s="125">
        <v>0.2</v>
      </c>
      <c r="U18" s="125">
        <v>0.26200000000000001</v>
      </c>
      <c r="V18" s="125">
        <v>0.315</v>
      </c>
      <c r="W18" s="125">
        <v>9.5000000000000001E-2</v>
      </c>
      <c r="X18" s="125">
        <v>8.1000000000000003E-2</v>
      </c>
      <c r="Y18" s="125">
        <v>0.56699999999999995</v>
      </c>
      <c r="Z18" s="125">
        <v>0.183</v>
      </c>
      <c r="AA18" s="125">
        <v>4.2000000000000003E-2</v>
      </c>
      <c r="AB18" s="125">
        <v>8.4000000000000005E-2</v>
      </c>
      <c r="AC18" s="125">
        <v>4.1000000000000002E-2</v>
      </c>
      <c r="AD18" s="125">
        <v>0.06</v>
      </c>
      <c r="AE18" s="125">
        <f t="shared" si="1"/>
        <v>0.18549999999999997</v>
      </c>
      <c r="AF18" s="125">
        <f t="shared" si="2"/>
        <v>0.13504546843033202</v>
      </c>
      <c r="AG18" s="125">
        <f t="shared" si="3"/>
        <v>0.25714999999999999</v>
      </c>
      <c r="AH18" s="125">
        <f t="shared" si="4"/>
        <v>0.14828731240730605</v>
      </c>
      <c r="AI18" s="125">
        <v>0.14699999999999999</v>
      </c>
      <c r="AJ18" s="125">
        <v>6.5000000000000002E-2</v>
      </c>
      <c r="AK18" s="125">
        <f t="shared" si="5"/>
        <v>0.93500000000000005</v>
      </c>
      <c r="AL18" s="126">
        <v>0.34599999999999997</v>
      </c>
      <c r="AM18" s="126">
        <f t="shared" si="6"/>
        <v>0.65400000000000003</v>
      </c>
      <c r="AN18" s="126">
        <v>8.7999999999999995E-2</v>
      </c>
      <c r="AO18" s="126">
        <f t="shared" si="7"/>
        <v>0.91200000000000003</v>
      </c>
      <c r="AP18" s="126">
        <v>0.39200000000000002</v>
      </c>
      <c r="AQ18" s="126">
        <v>0.41899999999999998</v>
      </c>
      <c r="AR18" s="126">
        <v>0.36899999999999999</v>
      </c>
      <c r="AS18" s="126">
        <v>0.42799999999999999</v>
      </c>
      <c r="AT18" s="126">
        <v>0.158</v>
      </c>
      <c r="AU18" s="126">
        <v>0.28000000000000003</v>
      </c>
      <c r="AV18" s="126">
        <v>0.39200000000000002</v>
      </c>
      <c r="AW18" s="125">
        <f t="shared" si="8"/>
        <v>0.41875000000000001</v>
      </c>
      <c r="AX18" s="125">
        <f t="shared" si="9"/>
        <v>0.37725350298114829</v>
      </c>
      <c r="AY18" s="126">
        <v>0.16600000000000001</v>
      </c>
      <c r="AZ18" s="126">
        <f t="shared" si="10"/>
        <v>0.83399999999999996</v>
      </c>
      <c r="BA18" s="126">
        <v>0.58899999999999997</v>
      </c>
      <c r="BB18" s="126">
        <v>0.11799999999999999</v>
      </c>
      <c r="BC18" s="126">
        <f t="shared" si="11"/>
        <v>0.88200000000000001</v>
      </c>
      <c r="BD18" s="126">
        <v>2.7E-2</v>
      </c>
      <c r="BE18" s="126">
        <f t="shared" si="12"/>
        <v>0.97299999999999998</v>
      </c>
      <c r="BF18" s="126">
        <v>7.2999999999999995E-2</v>
      </c>
      <c r="BG18" s="126">
        <f t="shared" si="13"/>
        <v>0.92700000000000005</v>
      </c>
      <c r="BH18" s="126">
        <v>0.107</v>
      </c>
      <c r="BI18" s="125">
        <f t="shared" si="14"/>
        <v>0.71866666666666668</v>
      </c>
      <c r="BJ18" s="125">
        <f t="shared" si="15"/>
        <v>0.58914344115473316</v>
      </c>
      <c r="BK18" s="125">
        <f t="shared" si="16"/>
        <v>0.57468333333333343</v>
      </c>
      <c r="BL18" s="125">
        <f t="shared" si="17"/>
        <v>0.45720629829046355</v>
      </c>
      <c r="BM18" s="125">
        <f t="shared" si="18"/>
        <v>0.21988333333333338</v>
      </c>
      <c r="BN18" s="125">
        <f t="shared" si="19"/>
        <v>5.7278194804069135E-2</v>
      </c>
      <c r="BO18" s="126">
        <v>0.45</v>
      </c>
      <c r="BP18" s="126">
        <v>0.40600000000000003</v>
      </c>
      <c r="BQ18" s="126">
        <v>0.252</v>
      </c>
      <c r="BR18" s="126">
        <f t="shared" si="20"/>
        <v>0.36933333333333335</v>
      </c>
      <c r="BS18" s="126">
        <f t="shared" si="21"/>
        <v>0.35840965143280046</v>
      </c>
      <c r="BT18" s="128">
        <v>0.58099999999999996</v>
      </c>
      <c r="BU18" s="128">
        <v>0.65900000000000003</v>
      </c>
      <c r="BV18" s="128">
        <v>0.70399999999999996</v>
      </c>
      <c r="BW18" s="128">
        <v>4.1000000000000002E-2</v>
      </c>
      <c r="BX18" s="128">
        <v>3.9E-2</v>
      </c>
      <c r="BY18" s="128">
        <v>0.437</v>
      </c>
      <c r="BZ18" s="128">
        <v>4.5999999999999999E-2</v>
      </c>
      <c r="CA18" s="128">
        <v>0.41399999999999998</v>
      </c>
      <c r="CB18" s="128">
        <v>0.112</v>
      </c>
      <c r="CC18" s="128">
        <v>4.0000000000000001E-3</v>
      </c>
      <c r="CD18" s="128">
        <f t="shared" si="22"/>
        <v>0.30369999999999997</v>
      </c>
      <c r="CE18" s="128">
        <f t="shared" si="23"/>
        <v>0.13200793254480525</v>
      </c>
      <c r="CF18" s="128">
        <v>9.0999999999999998E-2</v>
      </c>
      <c r="CG18" s="128">
        <v>7.2400000000000006E-2</v>
      </c>
      <c r="CH18" s="128">
        <v>1.78E-2</v>
      </c>
      <c r="CI18" s="128">
        <v>0.12859999999999999</v>
      </c>
      <c r="CJ18" s="123">
        <v>0.87150000000000005</v>
      </c>
      <c r="CK18" s="128">
        <v>0.46500000000000002</v>
      </c>
      <c r="CL18" s="128">
        <v>0.86899999999999999</v>
      </c>
      <c r="CM18" s="128">
        <v>0.26400000000000001</v>
      </c>
      <c r="CN18" s="128">
        <v>0.24099999999999999</v>
      </c>
      <c r="CO18" s="128">
        <v>8.0000000000000002E-3</v>
      </c>
      <c r="CP18" s="124">
        <f t="shared" si="24"/>
        <v>0.30283000000000004</v>
      </c>
      <c r="CQ18" s="124">
        <f t="shared" si="25"/>
        <v>0.13905582968693903</v>
      </c>
      <c r="CR18" s="125">
        <v>0.74790937649808598</v>
      </c>
      <c r="CS18" s="125">
        <v>0.88601002982679733</v>
      </c>
      <c r="CT18" s="125">
        <v>0.53822492253388976</v>
      </c>
      <c r="CU18" s="125">
        <v>0.42938069269266288</v>
      </c>
      <c r="CV18" s="125">
        <v>0.51105436359764156</v>
      </c>
      <c r="CW18" s="125">
        <v>0.87556338564269676</v>
      </c>
      <c r="CX18" s="125">
        <v>0.57799999999999996</v>
      </c>
      <c r="CY18" s="125">
        <v>0.66600000000000004</v>
      </c>
      <c r="CZ18" s="125">
        <v>0.73</v>
      </c>
      <c r="DA18" s="125">
        <v>0.53600000000000003</v>
      </c>
      <c r="DB18" s="125">
        <f t="shared" si="51"/>
        <v>0.64981427707917749</v>
      </c>
      <c r="DC18" s="125">
        <f t="shared" si="26"/>
        <v>0.63295645649035637</v>
      </c>
      <c r="DD18" s="125">
        <f t="shared" si="27"/>
        <v>0.47632213853958877</v>
      </c>
      <c r="DE18" s="125">
        <f t="shared" si="28"/>
        <v>0.29667538693489798</v>
      </c>
      <c r="DF18" s="125">
        <v>0.36299999999999999</v>
      </c>
      <c r="DG18" s="123">
        <v>0.54977416440831073</v>
      </c>
      <c r="DH18" s="123">
        <v>0.73423667570009032</v>
      </c>
      <c r="DI18" s="123">
        <v>0.14327009936766033</v>
      </c>
      <c r="DJ18" s="123">
        <v>0.1051490514905149</v>
      </c>
      <c r="DK18" s="123">
        <v>4.878048780487805E-2</v>
      </c>
      <c r="DL18" s="123">
        <f t="shared" si="29"/>
        <v>0.31624209575429085</v>
      </c>
      <c r="DM18" s="123">
        <f t="shared" si="30"/>
        <v>0.19699059516976566</v>
      </c>
      <c r="DN18" s="123">
        <v>0.36730000000000002</v>
      </c>
      <c r="DO18" s="129">
        <v>0.46500000000000002</v>
      </c>
      <c r="DP18" s="129">
        <f t="shared" si="31"/>
        <v>0.38284736525143032</v>
      </c>
      <c r="DQ18" s="129">
        <f t="shared" si="32"/>
        <v>0.32282943387667618</v>
      </c>
      <c r="DR18" s="128">
        <v>0.80600000000000005</v>
      </c>
      <c r="DS18" s="128">
        <v>0.74099999999999999</v>
      </c>
      <c r="DT18" s="128">
        <v>0.63700000000000001</v>
      </c>
      <c r="DU18" s="128">
        <v>0.46500000000000002</v>
      </c>
      <c r="DV18" s="128">
        <v>0.38800000000000001</v>
      </c>
      <c r="DW18" s="128">
        <v>0.46300000000000002</v>
      </c>
      <c r="DX18" s="128">
        <v>0.55000000000000004</v>
      </c>
      <c r="DY18" s="129">
        <f t="shared" si="33"/>
        <v>0.57857142857142851</v>
      </c>
      <c r="DZ18" s="129">
        <f t="shared" si="34"/>
        <v>0.56095959040063437</v>
      </c>
      <c r="EA18" s="129">
        <v>4.9000000000000002E-2</v>
      </c>
      <c r="EB18" s="128">
        <v>4.1000000000000002E-2</v>
      </c>
      <c r="EC18" s="214">
        <v>0.29253173522970388</v>
      </c>
      <c r="ED18" s="214">
        <v>0.30012897559573626</v>
      </c>
      <c r="EE18" s="214">
        <v>0.44475396045784632</v>
      </c>
      <c r="EF18" s="214">
        <v>0.34474132027534787</v>
      </c>
      <c r="EG18" s="214">
        <v>0.30749531597174984</v>
      </c>
      <c r="EH18" s="214">
        <v>0.36431063046193818</v>
      </c>
      <c r="EI18" s="124">
        <v>0.31248508886067161</v>
      </c>
      <c r="EJ18" s="124">
        <v>0.32213168094028577</v>
      </c>
      <c r="EK18" s="124">
        <v>0.28447506265422423</v>
      </c>
      <c r="EL18" s="124">
        <v>0.27831647342441829</v>
      </c>
      <c r="EM18" s="124">
        <v>0.30020081752428496</v>
      </c>
      <c r="EN18" s="124">
        <v>0.3535106254035833</v>
      </c>
      <c r="EO18" s="124">
        <v>0.13488382675876678</v>
      </c>
      <c r="EP18" s="124">
        <v>0.26310661900307092</v>
      </c>
      <c r="EQ18" s="124">
        <v>0.40613876942504334</v>
      </c>
      <c r="ER18" s="124">
        <v>0.31388509522996555</v>
      </c>
      <c r="ES18" s="124">
        <v>0.27531752894447831</v>
      </c>
      <c r="ET18" s="124">
        <v>0.62226632034678009</v>
      </c>
      <c r="EU18" s="124">
        <v>0.13123121945217114</v>
      </c>
      <c r="EV18" s="124">
        <v>0.34453001618952439</v>
      </c>
      <c r="EW18" s="124">
        <f t="shared" si="35"/>
        <v>0.31982205410747949</v>
      </c>
      <c r="EX18" s="124">
        <f t="shared" si="36"/>
        <v>0.30374825397644789</v>
      </c>
      <c r="EY18" s="124">
        <f t="shared" si="37"/>
        <v>0.18041102705373974</v>
      </c>
      <c r="EZ18" s="124">
        <f t="shared" si="38"/>
        <v>0.11159605016771142</v>
      </c>
      <c r="FA18" s="123">
        <v>0.218</v>
      </c>
      <c r="FB18" s="219">
        <v>0.54186993968899089</v>
      </c>
      <c r="FC18" s="219">
        <v>0.20497023060069433</v>
      </c>
      <c r="FD18" s="219">
        <v>0.29966061111097669</v>
      </c>
      <c r="FE18" s="219">
        <v>0.56359498264212637</v>
      </c>
      <c r="FF18" s="219">
        <v>0.25002772592591682</v>
      </c>
      <c r="FG18" s="130">
        <f t="shared" si="39"/>
        <v>0.37202469799374105</v>
      </c>
      <c r="FH18" s="130">
        <f t="shared" si="40"/>
        <v>0.34216387822850619</v>
      </c>
      <c r="FI18" s="126">
        <v>0.39500000000000002</v>
      </c>
      <c r="FJ18" s="126">
        <v>0.66700000000000004</v>
      </c>
      <c r="FK18" s="126">
        <v>0.53500000000000003</v>
      </c>
      <c r="FL18" s="126">
        <v>0.65099999999999991</v>
      </c>
      <c r="FM18" s="126">
        <v>0.36899999999999999</v>
      </c>
      <c r="FN18" s="126">
        <v>0.38500000000000001</v>
      </c>
      <c r="FO18" s="130">
        <f t="shared" si="41"/>
        <v>0.52139999999999986</v>
      </c>
      <c r="FP18" s="130">
        <f t="shared" si="42"/>
        <v>0.50548647512867362</v>
      </c>
      <c r="FQ18" s="130">
        <f t="shared" si="43"/>
        <v>0.37660617449843525</v>
      </c>
      <c r="FR18" s="130">
        <f t="shared" si="44"/>
        <v>0.34934080948809815</v>
      </c>
      <c r="FS18" s="130">
        <f t="shared" si="45"/>
        <v>0.34219905191643957</v>
      </c>
      <c r="FT18" s="130">
        <f t="shared" si="46"/>
        <v>0.28264653942729151</v>
      </c>
      <c r="FU18" s="126">
        <v>0.20681926237859133</v>
      </c>
      <c r="FV18" s="131">
        <v>0.48699999999999999</v>
      </c>
      <c r="FW18" s="131">
        <v>0.20200000000000001</v>
      </c>
      <c r="FX18" s="131">
        <v>7.7100000000000002E-2</v>
      </c>
      <c r="FY18" s="131">
        <v>0.36</v>
      </c>
      <c r="FZ18" s="131">
        <f>+AVERAGE(FU18:FY18)</f>
        <v>0.26658385247571825</v>
      </c>
      <c r="GA18" s="131">
        <f t="shared" si="48"/>
        <v>0.22406067442659247</v>
      </c>
      <c r="GB18" s="122">
        <v>0.08</v>
      </c>
      <c r="GC18" s="132">
        <v>2.7300000000000001E-2</v>
      </c>
      <c r="GD18" s="123">
        <f t="shared" si="49"/>
        <v>5.3650000000000003E-2</v>
      </c>
      <c r="GE18" s="123">
        <f t="shared" si="52"/>
        <v>4.6733285782191693E-2</v>
      </c>
    </row>
    <row r="19" spans="1:187" x14ac:dyDescent="0.2">
      <c r="A19" s="1" t="s">
        <v>227</v>
      </c>
      <c r="B19" s="121">
        <v>7.1500000000000008E-2</v>
      </c>
      <c r="C19" s="122">
        <v>7.4000000000000003E-3</v>
      </c>
      <c r="D19" s="126">
        <v>0.53900000000000003</v>
      </c>
      <c r="E19" s="126">
        <v>8.3000000000000004E-2</v>
      </c>
      <c r="F19" s="123">
        <v>0.107</v>
      </c>
      <c r="G19" s="123">
        <v>0.60499999999999998</v>
      </c>
      <c r="H19" s="123">
        <v>3.3000000000000002E-2</v>
      </c>
      <c r="I19" s="126">
        <f t="shared" si="50"/>
        <v>0.27339999999999998</v>
      </c>
      <c r="J19" s="125">
        <f t="shared" si="0"/>
        <v>0.15705942022762431</v>
      </c>
      <c r="K19" s="123">
        <v>0.111</v>
      </c>
      <c r="L19" s="123">
        <v>5.1999999999999998E-2</v>
      </c>
      <c r="M19" s="123">
        <v>0.246</v>
      </c>
      <c r="N19" s="123">
        <v>0.27400000000000002</v>
      </c>
      <c r="O19" s="123">
        <v>0.186</v>
      </c>
      <c r="P19" s="123">
        <v>0.105</v>
      </c>
      <c r="Q19" s="123">
        <v>2.9000000000000001E-2</v>
      </c>
      <c r="R19" s="123">
        <v>5.7000000000000002E-2</v>
      </c>
      <c r="S19" s="123">
        <v>0.32200000000000001</v>
      </c>
      <c r="T19" s="123">
        <v>0.14399999999999999</v>
      </c>
      <c r="U19" s="123">
        <v>0.20599999999999999</v>
      </c>
      <c r="V19" s="123">
        <v>0.28999999999999998</v>
      </c>
      <c r="W19" s="123">
        <v>9.2999999999999999E-2</v>
      </c>
      <c r="X19" s="123">
        <v>7.5999999999999998E-2</v>
      </c>
      <c r="Y19" s="123">
        <v>0.42899999999999999</v>
      </c>
      <c r="Z19" s="123">
        <v>0.13900000000000001</v>
      </c>
      <c r="AA19" s="123">
        <v>6.3E-2</v>
      </c>
      <c r="AB19" s="123">
        <v>8.1000000000000003E-2</v>
      </c>
      <c r="AC19" s="123">
        <v>5.1999999999999998E-2</v>
      </c>
      <c r="AD19" s="123">
        <v>7.2999999999999995E-2</v>
      </c>
      <c r="AE19" s="126">
        <f t="shared" si="1"/>
        <v>0.15139999999999998</v>
      </c>
      <c r="AF19" s="125">
        <f t="shared" si="2"/>
        <v>0.11821417449343477</v>
      </c>
      <c r="AG19" s="125">
        <f t="shared" si="3"/>
        <v>0.23209999999999997</v>
      </c>
      <c r="AH19" s="125">
        <f t="shared" si="4"/>
        <v>0.1362594940128066</v>
      </c>
      <c r="AI19" s="123">
        <v>0.16700000000000001</v>
      </c>
      <c r="AJ19" s="123">
        <v>0.04</v>
      </c>
      <c r="AK19" s="125">
        <f t="shared" si="5"/>
        <v>0.96</v>
      </c>
      <c r="AL19" s="123">
        <v>0.24199999999999999</v>
      </c>
      <c r="AM19" s="126">
        <f t="shared" si="6"/>
        <v>0.75800000000000001</v>
      </c>
      <c r="AN19" s="123">
        <v>8.6999999999999994E-2</v>
      </c>
      <c r="AO19" s="126">
        <f t="shared" si="7"/>
        <v>0.91300000000000003</v>
      </c>
      <c r="AP19" s="123">
        <v>0.32500000000000001</v>
      </c>
      <c r="AQ19" s="123">
        <v>0.33100000000000002</v>
      </c>
      <c r="AR19" s="123">
        <v>0.36799999999999999</v>
      </c>
      <c r="AS19" s="123">
        <v>0.39900000000000002</v>
      </c>
      <c r="AT19" s="123">
        <v>0.153</v>
      </c>
      <c r="AU19" s="123">
        <v>0.21099999999999999</v>
      </c>
      <c r="AV19" s="123">
        <v>0.30199999999999999</v>
      </c>
      <c r="AW19" s="125">
        <f t="shared" si="8"/>
        <v>0.37524999999999997</v>
      </c>
      <c r="AX19" s="125">
        <f t="shared" si="9"/>
        <v>0.32998785745759024</v>
      </c>
      <c r="AY19" s="123">
        <v>0.13900000000000001</v>
      </c>
      <c r="AZ19" s="126">
        <f t="shared" si="10"/>
        <v>0.86099999999999999</v>
      </c>
      <c r="BA19" s="123">
        <v>0.48899999999999999</v>
      </c>
      <c r="BB19" s="123">
        <v>8.1000000000000003E-2</v>
      </c>
      <c r="BC19" s="126">
        <f t="shared" si="11"/>
        <v>0.91900000000000004</v>
      </c>
      <c r="BD19" s="123">
        <v>3.1E-2</v>
      </c>
      <c r="BE19" s="126">
        <f t="shared" si="12"/>
        <v>0.96899999999999997</v>
      </c>
      <c r="BF19" s="123">
        <v>0.05</v>
      </c>
      <c r="BG19" s="126">
        <f t="shared" si="13"/>
        <v>0.95</v>
      </c>
      <c r="BH19" s="123">
        <v>0.108</v>
      </c>
      <c r="BI19" s="125">
        <f>+AVERAGE(AZ19,BA19,BC19,BE19,BG19,BH19)</f>
        <v>0.71599999999999986</v>
      </c>
      <c r="BJ19" s="125">
        <f t="shared" si="15"/>
        <v>0.58100933468789839</v>
      </c>
      <c r="BK19" s="125">
        <f t="shared" si="16"/>
        <v>0.59524999999999995</v>
      </c>
      <c r="BL19" s="125">
        <f t="shared" si="17"/>
        <v>0.47148469098917062</v>
      </c>
      <c r="BM19" s="125">
        <f t="shared" si="18"/>
        <v>0.2265625</v>
      </c>
      <c r="BN19" s="125">
        <f t="shared" si="19"/>
        <v>7.6355975919339542E-2</v>
      </c>
      <c r="BO19" s="123">
        <v>0.51900000000000002</v>
      </c>
      <c r="BP19" s="123">
        <v>0.57999999999999996</v>
      </c>
      <c r="BQ19" s="123">
        <v>0.153</v>
      </c>
      <c r="BR19" s="126">
        <f t="shared" si="20"/>
        <v>0.41733333333333333</v>
      </c>
      <c r="BS19" s="126">
        <f t="shared" si="21"/>
        <v>0.35845028284131458</v>
      </c>
      <c r="BT19" s="123">
        <v>0.60099999999999998</v>
      </c>
      <c r="BU19" s="123">
        <v>0.63200000000000001</v>
      </c>
      <c r="BV19" s="123">
        <v>0.72899999999999998</v>
      </c>
      <c r="BW19" s="123">
        <v>0.05</v>
      </c>
      <c r="BX19" s="123">
        <v>4.1000000000000002E-2</v>
      </c>
      <c r="BY19" s="123">
        <v>0.374</v>
      </c>
      <c r="BZ19" s="123">
        <v>3.2000000000000001E-2</v>
      </c>
      <c r="CA19" s="123">
        <v>0.30599999999999999</v>
      </c>
      <c r="CB19" s="123">
        <v>0.11</v>
      </c>
      <c r="CC19" s="123">
        <v>2E-3</v>
      </c>
      <c r="CD19" s="128">
        <f t="shared" si="22"/>
        <v>0.28769999999999996</v>
      </c>
      <c r="CE19" s="128">
        <f t="shared" si="23"/>
        <v>0.11641899952465386</v>
      </c>
      <c r="CF19" s="123">
        <v>0.1082</v>
      </c>
      <c r="CG19" s="123">
        <v>0.12509999999999999</v>
      </c>
      <c r="CH19" s="123">
        <v>4.02E-2</v>
      </c>
      <c r="CI19" s="123">
        <v>0.2024</v>
      </c>
      <c r="CJ19" s="123">
        <v>0.82650000000000001</v>
      </c>
      <c r="CK19" s="123">
        <v>0.50539999999999996</v>
      </c>
      <c r="CL19" s="123">
        <v>0.90080000000000005</v>
      </c>
      <c r="CM19" s="216" t="s">
        <v>229</v>
      </c>
      <c r="CN19" s="123">
        <v>0.35730000000000001</v>
      </c>
      <c r="CO19" s="123">
        <v>2.81E-2</v>
      </c>
      <c r="CP19" s="124">
        <f t="shared" si="24"/>
        <v>0.34377777777777774</v>
      </c>
      <c r="CQ19" s="124">
        <f t="shared" si="25"/>
        <v>0.19544229285793621</v>
      </c>
      <c r="CR19" s="123">
        <v>0.76200000000000001</v>
      </c>
      <c r="CS19" s="123">
        <v>0.90800000000000003</v>
      </c>
      <c r="CT19" s="123">
        <v>0.71599999999999997</v>
      </c>
      <c r="CU19" s="123">
        <v>0.59699999999999998</v>
      </c>
      <c r="CV19" s="123">
        <v>0.64800000000000002</v>
      </c>
      <c r="CW19" s="123">
        <v>0.73699999999999999</v>
      </c>
      <c r="CX19" s="123">
        <v>0.35799999999999998</v>
      </c>
      <c r="CY19" s="123">
        <v>0.72399999999999998</v>
      </c>
      <c r="CZ19" s="123">
        <v>0.7</v>
      </c>
      <c r="DA19" s="123">
        <v>0.309</v>
      </c>
      <c r="DB19" s="125">
        <f t="shared" si="51"/>
        <v>0.64590000000000003</v>
      </c>
      <c r="DC19" s="125">
        <f>+GEOMEAN(CR19:DA19)</f>
        <v>0.61640319046080161</v>
      </c>
      <c r="DD19" s="125">
        <f t="shared" si="27"/>
        <v>0.49483888888888888</v>
      </c>
      <c r="DE19" s="125">
        <f t="shared" si="28"/>
        <v>0.34708968994858697</v>
      </c>
      <c r="DF19" s="123">
        <v>0.36699999999999999</v>
      </c>
      <c r="DG19" s="123">
        <v>0.60348432055749124</v>
      </c>
      <c r="DH19" s="123">
        <v>0.73519163763066198</v>
      </c>
      <c r="DI19" s="123">
        <v>0.22404181184668989</v>
      </c>
      <c r="DJ19" s="123">
        <v>0.17061556329849012</v>
      </c>
      <c r="DK19" s="123">
        <v>7.398373983739838E-2</v>
      </c>
      <c r="DL19" s="123">
        <f t="shared" si="29"/>
        <v>0.36146341463414627</v>
      </c>
      <c r="DM19" s="123">
        <f t="shared" si="30"/>
        <v>0.26285128844417915</v>
      </c>
      <c r="DN19" s="123">
        <v>0.53949999999999998</v>
      </c>
      <c r="DO19" s="129">
        <v>0.55200000000000005</v>
      </c>
      <c r="DP19" s="129">
        <f t="shared" si="31"/>
        <v>0.48432113821138212</v>
      </c>
      <c r="DQ19" s="129">
        <f t="shared" si="32"/>
        <v>0.42777317351838601</v>
      </c>
      <c r="DR19" s="128">
        <v>0.753</v>
      </c>
      <c r="DS19" s="128">
        <v>0.68799999999999994</v>
      </c>
      <c r="DT19" s="128">
        <v>0.71799999999999997</v>
      </c>
      <c r="DU19" s="128">
        <v>0.498</v>
      </c>
      <c r="DV19" s="128">
        <v>0.38800000000000001</v>
      </c>
      <c r="DW19" s="128">
        <v>0.441</v>
      </c>
      <c r="DX19" s="128">
        <v>0.52900000000000003</v>
      </c>
      <c r="DY19" s="129">
        <f>+AVERAGE(DR19:DX19)</f>
        <v>0.57357142857142851</v>
      </c>
      <c r="DZ19" s="129">
        <f t="shared" si="34"/>
        <v>0.5576373877447508</v>
      </c>
      <c r="EA19" s="129">
        <v>0.02</v>
      </c>
      <c r="EB19" s="123">
        <v>0.05</v>
      </c>
      <c r="EC19" s="214">
        <v>0.17716262619206471</v>
      </c>
      <c r="ED19" s="214">
        <v>0.13184451265087557</v>
      </c>
      <c r="EE19" s="214">
        <v>0.31825234465858177</v>
      </c>
      <c r="EF19" s="214">
        <v>0.28810159094708254</v>
      </c>
      <c r="EG19" s="214">
        <v>0.2252210061107493</v>
      </c>
      <c r="EH19" s="214">
        <v>0.18592017649953521</v>
      </c>
      <c r="EI19" s="124">
        <v>0.25679792516662592</v>
      </c>
      <c r="EJ19" s="124">
        <v>0.19200112113966777</v>
      </c>
      <c r="EK19" s="124">
        <v>0.20684234723271511</v>
      </c>
      <c r="EL19" s="124">
        <v>0.16288290548690657</v>
      </c>
      <c r="EM19" s="124">
        <v>0.18927088478177764</v>
      </c>
      <c r="EN19" s="124">
        <v>0.24828141122155623</v>
      </c>
      <c r="EO19" s="124">
        <v>0.31544199890073571</v>
      </c>
      <c r="EP19" s="124">
        <v>0.39059960936449406</v>
      </c>
      <c r="EQ19" s="124">
        <v>0.3611552269663259</v>
      </c>
      <c r="ER19" s="124">
        <v>0.27059628476951159</v>
      </c>
      <c r="ES19" s="124">
        <v>0.23976701428217051</v>
      </c>
      <c r="ET19" s="124">
        <v>0.20900776738727866</v>
      </c>
      <c r="EU19" s="124">
        <v>0.19304259419111261</v>
      </c>
      <c r="EV19" s="124">
        <v>0.15950263406628087</v>
      </c>
      <c r="EW19" s="124">
        <f t="shared" si="35"/>
        <v>0.23608459910080243</v>
      </c>
      <c r="EX19" s="124">
        <f t="shared" si="36"/>
        <v>0.22683405246354721</v>
      </c>
      <c r="EY19" s="124">
        <f t="shared" si="37"/>
        <v>0.14304229955040121</v>
      </c>
      <c r="EZ19" s="124">
        <f t="shared" si="38"/>
        <v>0.10649743012475635</v>
      </c>
      <c r="FA19" s="123">
        <v>0.26200000000000001</v>
      </c>
      <c r="FB19" s="219">
        <v>0.70060770577088294</v>
      </c>
      <c r="FC19" s="219">
        <v>0.3257391430979007</v>
      </c>
      <c r="FD19" s="219">
        <v>0.60790148802686039</v>
      </c>
      <c r="FE19" s="219">
        <v>0.39314755646664989</v>
      </c>
      <c r="FF19" s="219">
        <v>0.30600663273803907</v>
      </c>
      <c r="FG19" s="130">
        <f t="shared" si="39"/>
        <v>0.46668050522006671</v>
      </c>
      <c r="FH19" s="130">
        <f t="shared" si="40"/>
        <v>0.44105514977861243</v>
      </c>
      <c r="FI19" s="126">
        <v>0.373</v>
      </c>
      <c r="FJ19" s="126">
        <v>0.71499999999999997</v>
      </c>
      <c r="FK19" s="126">
        <v>0.307</v>
      </c>
      <c r="FL19" s="126">
        <v>0.53799999999999992</v>
      </c>
      <c r="FM19" s="126">
        <v>0.21100000000000002</v>
      </c>
      <c r="FN19" s="126">
        <v>0.39500000000000002</v>
      </c>
      <c r="FO19" s="130">
        <f t="shared" si="41"/>
        <v>0.43320000000000008</v>
      </c>
      <c r="FP19" s="130">
        <f t="shared" si="42"/>
        <v>0.39684530696979425</v>
      </c>
      <c r="FQ19" s="130">
        <f t="shared" si="43"/>
        <v>0.38372012630501667</v>
      </c>
      <c r="FR19" s="130">
        <f t="shared" si="44"/>
        <v>0.3616438360721263</v>
      </c>
      <c r="FS19" s="130">
        <f t="shared" si="45"/>
        <v>0.35239191276227227</v>
      </c>
      <c r="FT19" s="130">
        <f t="shared" si="46"/>
        <v>0.29583453330828607</v>
      </c>
      <c r="FU19" s="126">
        <v>0.20416406899418121</v>
      </c>
      <c r="FV19" s="131">
        <v>0.379</v>
      </c>
      <c r="FW19" s="131">
        <v>0.17</v>
      </c>
      <c r="FX19" s="131">
        <v>3.7600000000000001E-2</v>
      </c>
      <c r="FY19" s="131">
        <v>0.32700000000000001</v>
      </c>
      <c r="FZ19" s="131">
        <f t="shared" si="47"/>
        <v>0.22355281379883624</v>
      </c>
      <c r="GA19" s="131">
        <f t="shared" si="48"/>
        <v>0.1744860086480112</v>
      </c>
      <c r="GB19" s="122">
        <v>0.05</v>
      </c>
      <c r="GC19" s="132">
        <v>2.8500000000000001E-2</v>
      </c>
      <c r="GD19" s="123">
        <f t="shared" si="49"/>
        <v>3.925E-2</v>
      </c>
      <c r="GE19" s="123">
        <f>+GEOMEAN(GB19:GC19)</f>
        <v>3.7749172176353749E-2</v>
      </c>
    </row>
    <row r="20" spans="1:187" x14ac:dyDescent="0.2">
      <c r="B20" s="19"/>
      <c r="C20" s="20"/>
      <c r="D20" s="15"/>
      <c r="E20" s="15"/>
      <c r="F20" s="21"/>
      <c r="G20" s="21"/>
      <c r="H20" s="21"/>
      <c r="I20" s="15"/>
      <c r="J20" s="23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5"/>
      <c r="AF20" s="23"/>
      <c r="AG20" s="23"/>
      <c r="AH20" s="23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3"/>
      <c r="AX20" s="23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3"/>
      <c r="BJ20" s="23"/>
      <c r="BK20" s="23"/>
      <c r="BL20" s="23"/>
      <c r="BM20" s="23"/>
      <c r="BN20" s="23"/>
      <c r="BO20" s="21"/>
      <c r="BP20" s="21"/>
      <c r="BQ20" s="21"/>
      <c r="BR20" s="15"/>
      <c r="BS20" s="15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4"/>
      <c r="CE20" s="24"/>
      <c r="CF20" s="21"/>
      <c r="CG20" s="21"/>
      <c r="CH20" s="21"/>
      <c r="CI20" s="21"/>
      <c r="CJ20" s="21"/>
      <c r="CK20" s="21"/>
      <c r="CL20" s="21"/>
      <c r="CM20" s="42"/>
      <c r="CN20" s="21"/>
      <c r="CO20" s="21"/>
      <c r="CP20" s="22"/>
      <c r="CQ20" s="22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3"/>
      <c r="DC20" s="23"/>
      <c r="DD20" s="23"/>
      <c r="DE20" s="23"/>
      <c r="DF20" s="21"/>
      <c r="DG20" s="21"/>
      <c r="DH20" s="21"/>
      <c r="DI20" s="21"/>
      <c r="DJ20" s="21"/>
      <c r="DK20" s="21"/>
      <c r="DL20" s="21"/>
      <c r="DM20" s="21"/>
      <c r="DN20" s="21"/>
      <c r="DO20" s="14"/>
      <c r="DP20" s="14"/>
      <c r="DQ20" s="14"/>
      <c r="DR20" s="24"/>
      <c r="DS20" s="24"/>
      <c r="DT20" s="24"/>
      <c r="DU20" s="24"/>
      <c r="DV20" s="24"/>
      <c r="DW20" s="24"/>
      <c r="DX20" s="24"/>
      <c r="DY20" s="14"/>
      <c r="DZ20" s="14"/>
      <c r="EA20" s="14"/>
      <c r="EB20" s="21"/>
      <c r="EC20" s="25"/>
      <c r="ED20" s="25"/>
      <c r="EE20" s="25"/>
      <c r="EF20" s="25"/>
      <c r="EG20" s="25"/>
      <c r="EH20" s="25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7"/>
      <c r="FB20" s="16"/>
      <c r="FC20" s="16"/>
      <c r="FD20" s="15"/>
      <c r="FE20" s="15"/>
      <c r="FF20" s="15"/>
      <c r="FG20" s="26"/>
      <c r="FH20" s="26"/>
      <c r="FI20" s="15"/>
      <c r="FJ20" s="16"/>
      <c r="FK20" s="15"/>
      <c r="FL20" s="15"/>
      <c r="FM20" s="15"/>
      <c r="FN20" s="15"/>
      <c r="FO20" s="26"/>
      <c r="FP20" s="26"/>
      <c r="FQ20" s="26"/>
      <c r="FR20" s="26"/>
      <c r="FS20" s="26"/>
      <c r="FT20" s="26"/>
      <c r="FU20" s="15"/>
      <c r="FV20" s="27"/>
      <c r="FW20" s="27"/>
      <c r="FX20" s="27"/>
      <c r="FY20" s="27"/>
      <c r="FZ20" s="27"/>
      <c r="GA20" s="27"/>
      <c r="GB20" s="20"/>
      <c r="GC20" s="28"/>
      <c r="GD20" s="21"/>
      <c r="GE20" s="21"/>
    </row>
    <row r="21" spans="1:187" hidden="1" x14ac:dyDescent="0.2">
      <c r="B21" s="19"/>
      <c r="C21" s="20"/>
      <c r="D21" s="15"/>
      <c r="E21" s="15"/>
      <c r="F21" s="21"/>
      <c r="G21" s="21"/>
      <c r="H21" s="21"/>
      <c r="I21" s="15"/>
      <c r="J21" s="23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15"/>
      <c r="AF21" s="23"/>
      <c r="AG21" s="23"/>
      <c r="AH21" s="23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3"/>
      <c r="AX21" s="23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3"/>
      <c r="BJ21" s="23"/>
      <c r="BK21" s="23"/>
      <c r="BL21" s="23"/>
      <c r="BM21" s="23"/>
      <c r="BN21" s="23"/>
      <c r="BO21" s="21"/>
      <c r="BP21" s="21"/>
      <c r="BQ21" s="21"/>
      <c r="BR21" s="15"/>
      <c r="BS21" s="15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4"/>
      <c r="CE21" s="24"/>
      <c r="CF21" s="21"/>
      <c r="CG21" s="21"/>
      <c r="CH21" s="21"/>
      <c r="CI21" s="21"/>
      <c r="CJ21" s="21"/>
      <c r="CK21" s="21"/>
      <c r="CL21" s="21"/>
      <c r="CM21" s="42"/>
      <c r="CN21" s="21"/>
      <c r="CO21" s="21"/>
      <c r="CP21" s="22"/>
      <c r="CQ21" s="22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3"/>
      <c r="DC21" s="23"/>
      <c r="DD21" s="23"/>
      <c r="DE21" s="23"/>
      <c r="DF21" s="21"/>
      <c r="DG21" s="21"/>
      <c r="DH21" s="21"/>
      <c r="DI21" s="21"/>
      <c r="DJ21" s="21"/>
      <c r="DK21" s="21"/>
      <c r="DL21" s="21"/>
      <c r="DM21" s="21"/>
      <c r="DN21" s="21"/>
      <c r="DO21" s="14"/>
      <c r="DP21" s="14"/>
      <c r="DQ21" s="14"/>
      <c r="DR21" s="24"/>
      <c r="DS21" s="24"/>
      <c r="DT21" s="24"/>
      <c r="DU21" s="24"/>
      <c r="DV21" s="24"/>
      <c r="DW21" s="24"/>
      <c r="DX21" s="24"/>
      <c r="DY21" s="14"/>
      <c r="DZ21" s="14"/>
      <c r="EA21" s="14"/>
      <c r="EB21" s="21"/>
      <c r="EC21" s="25"/>
      <c r="ED21" s="25"/>
      <c r="EE21" s="25"/>
      <c r="EF21" s="25"/>
      <c r="EG21" s="25"/>
      <c r="EH21" s="25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8"/>
      <c r="FB21" s="16"/>
      <c r="FC21" s="16"/>
      <c r="FD21" s="15"/>
      <c r="FE21" s="15"/>
      <c r="FF21" s="15"/>
      <c r="FG21" s="26"/>
      <c r="FH21" s="26"/>
      <c r="FI21" s="15"/>
      <c r="FJ21" s="15"/>
      <c r="FK21" s="15"/>
      <c r="FL21" s="15"/>
      <c r="FM21" s="15"/>
      <c r="FN21" s="15"/>
      <c r="FO21" s="26"/>
      <c r="FP21" s="26"/>
      <c r="FQ21" s="26"/>
      <c r="FR21" s="26"/>
      <c r="FS21" s="26"/>
      <c r="FT21" s="26"/>
      <c r="FU21" s="15"/>
      <c r="FV21" s="27"/>
      <c r="FW21" s="27"/>
      <c r="FX21" s="27"/>
      <c r="FY21" s="27"/>
      <c r="FZ21" s="27"/>
      <c r="GA21" s="27"/>
      <c r="GB21" s="20"/>
      <c r="GC21" s="28"/>
      <c r="GD21" s="21"/>
      <c r="GE21" s="21"/>
    </row>
    <row r="22" spans="1:187" hidden="1" x14ac:dyDescent="0.2">
      <c r="J22" s="305" t="s">
        <v>263</v>
      </c>
      <c r="K22" s="305"/>
      <c r="L22" s="301" t="s">
        <v>263</v>
      </c>
      <c r="M22" s="302"/>
      <c r="N22" s="302" t="s">
        <v>263</v>
      </c>
      <c r="O22" s="306"/>
      <c r="P22" s="305" t="s">
        <v>263</v>
      </c>
      <c r="Q22" s="305"/>
      <c r="R22" s="301" t="s">
        <v>263</v>
      </c>
      <c r="S22" s="302"/>
      <c r="FA22" s="8"/>
      <c r="FB22" s="213"/>
      <c r="FC22" s="213"/>
    </row>
    <row r="23" spans="1:187" ht="42" hidden="1" customHeight="1" x14ac:dyDescent="0.2">
      <c r="B23" s="276" t="s">
        <v>251</v>
      </c>
      <c r="C23" s="276"/>
      <c r="D23" s="258" t="s">
        <v>250</v>
      </c>
      <c r="E23" s="258"/>
      <c r="F23" s="242" t="s">
        <v>249</v>
      </c>
      <c r="G23" s="242"/>
      <c r="H23" s="244" t="s">
        <v>253</v>
      </c>
      <c r="I23" s="245"/>
      <c r="J23" s="278" t="s">
        <v>262</v>
      </c>
      <c r="K23" s="278"/>
      <c r="L23" s="297" t="s">
        <v>264</v>
      </c>
      <c r="M23" s="298"/>
      <c r="N23" s="307" t="s">
        <v>265</v>
      </c>
      <c r="O23" s="308"/>
      <c r="P23" s="277" t="s">
        <v>266</v>
      </c>
      <c r="Q23" s="277"/>
      <c r="R23" s="297" t="s">
        <v>267</v>
      </c>
      <c r="S23" s="298"/>
      <c r="FA23" s="9"/>
      <c r="FB23" s="213"/>
      <c r="FC23" s="213"/>
      <c r="GB23" s="30"/>
    </row>
    <row r="24" spans="1:187" ht="25.5" hidden="1" x14ac:dyDescent="0.2">
      <c r="A24" s="36" t="s">
        <v>0</v>
      </c>
      <c r="B24" s="5" t="s">
        <v>260</v>
      </c>
      <c r="C24" s="5" t="s">
        <v>261</v>
      </c>
      <c r="D24" s="40" t="s">
        <v>260</v>
      </c>
      <c r="E24" s="40" t="s">
        <v>261</v>
      </c>
      <c r="F24" s="47" t="s">
        <v>260</v>
      </c>
      <c r="G24" s="47" t="s">
        <v>261</v>
      </c>
      <c r="H24" s="46" t="s">
        <v>260</v>
      </c>
      <c r="I24" s="53" t="s">
        <v>261</v>
      </c>
      <c r="J24" s="209" t="s">
        <v>260</v>
      </c>
      <c r="K24" s="209" t="s">
        <v>261</v>
      </c>
      <c r="L24" s="80" t="s">
        <v>260</v>
      </c>
      <c r="M24" s="45" t="s">
        <v>261</v>
      </c>
      <c r="N24" s="69" t="s">
        <v>260</v>
      </c>
      <c r="O24" s="74" t="s">
        <v>261</v>
      </c>
      <c r="P24" s="209" t="s">
        <v>260</v>
      </c>
      <c r="Q24" s="209" t="s">
        <v>261</v>
      </c>
      <c r="R24" s="80" t="s">
        <v>260</v>
      </c>
      <c r="S24" s="45" t="s">
        <v>261</v>
      </c>
      <c r="FA24" s="9"/>
      <c r="FB24" s="213"/>
      <c r="FC24" s="213"/>
    </row>
    <row r="25" spans="1:187" hidden="1" x14ac:dyDescent="0.2">
      <c r="A25" s="48" t="s">
        <v>74</v>
      </c>
      <c r="B25" s="54">
        <v>0.23065416666666666</v>
      </c>
      <c r="C25" s="54">
        <v>0.11790373884747472</v>
      </c>
      <c r="D25" s="54">
        <v>0.37759727368421986</v>
      </c>
      <c r="E25" s="54">
        <v>0.32661491414189764</v>
      </c>
      <c r="F25" s="54">
        <v>0.22081410928185491</v>
      </c>
      <c r="G25" s="54">
        <v>0.17715868176174457</v>
      </c>
      <c r="H25" s="54">
        <v>6.9399999999999989E-2</v>
      </c>
      <c r="I25" s="56">
        <v>6.8760453750684333E-2</v>
      </c>
      <c r="J25" s="55">
        <f>+AVERAGE(B25,D25,F25,H25)</f>
        <v>0.22461638740818538</v>
      </c>
      <c r="K25" s="55">
        <f>+GEOMEAN(C25,E25,G25,I25)</f>
        <v>0.14716894981082182</v>
      </c>
      <c r="L25" s="81">
        <f>+(B25*0.3)+(D25*0.3)+(F25*0.3)+(H25*0.1)</f>
        <v>0.25565966488982245</v>
      </c>
      <c r="M25" s="55">
        <f>+(C25^0.3)*(E25^0.3)*(G25^0.3)*(I25^0.1)</f>
        <v>0.1713608793708187</v>
      </c>
      <c r="N25" s="55">
        <f>+(B25*0.35)+(D25*0.35)+(F25*0.15)+(H25*0.15)</f>
        <v>0.2564201205150885</v>
      </c>
      <c r="O25" s="75">
        <f>+(C25^0.35)*(E25^0.35)*(G25^0.15)*(I25^0.15)</f>
        <v>0.16512104645869338</v>
      </c>
      <c r="P25" s="55">
        <f>+(B25*0.4)+(D25*0.4)+(F25*0.1)+(H25*0.1)</f>
        <v>0.27232198706854011</v>
      </c>
      <c r="Q25" s="55">
        <f>+(C25^0.4)*(E25^0.4)*(G25^0.1)*(I25^0.1)</f>
        <v>0.17490231308577797</v>
      </c>
      <c r="R25" s="81">
        <f>+(D25*0.35)+(F25*0.4)+(H25*0.15)+(J25*0.1)</f>
        <v>0.25335632824303744</v>
      </c>
      <c r="S25" s="55">
        <f>+(E25^0.35)*(G25^0.4)*(I25^0.15)*(K25^0.1)</f>
        <v>0.18691321574571376</v>
      </c>
      <c r="FA25" s="10"/>
      <c r="FB25" s="213"/>
      <c r="FC25" s="213"/>
    </row>
    <row r="26" spans="1:187" hidden="1" x14ac:dyDescent="0.2">
      <c r="A26" s="49" t="s">
        <v>71</v>
      </c>
      <c r="B26" s="54">
        <v>0.29164211410480068</v>
      </c>
      <c r="C26" s="70">
        <v>0.20218266861424528</v>
      </c>
      <c r="D26" s="54">
        <v>0.47560406869566368</v>
      </c>
      <c r="E26" s="70">
        <v>0.41856704945272732</v>
      </c>
      <c r="F26" s="54">
        <v>0.24381611741473375</v>
      </c>
      <c r="G26" s="70">
        <v>0.19757908775585581</v>
      </c>
      <c r="H26" s="54">
        <v>0.26879999999999998</v>
      </c>
      <c r="I26" s="87">
        <v>0.19133217188962237</v>
      </c>
      <c r="J26" s="58">
        <f t="shared" ref="J26:J33" si="53">+AVERAGE(B26,D26,F26,H26)</f>
        <v>0.31996557505379952</v>
      </c>
      <c r="K26" s="58">
        <f t="shared" ref="K26:K33" si="54">+GEOMEAN(C26,E26,G26,I26)</f>
        <v>0.23782608384230253</v>
      </c>
      <c r="L26" s="82">
        <f t="shared" ref="L26:L33" si="55">+(B26*0.3)+(D26*0.3)+(F26*0.3)+(H26*0.1)</f>
        <v>0.33019869006455943</v>
      </c>
      <c r="M26" s="58">
        <f t="shared" ref="M26:M33" si="56">+(C26^0.3)*(E26^0.3)*(G26^0.3)*(I26^0.1)</f>
        <v>0.24840125247012604</v>
      </c>
      <c r="N26" s="58">
        <f t="shared" ref="N26:N33" si="57">+(B26*0.35)+(D26*0.35)+(F26*0.15)+(H26*0.15)</f>
        <v>0.34542858159237255</v>
      </c>
      <c r="O26" s="76">
        <f t="shared" ref="O26:O33" si="58">+(C26^0.35)*(E26^0.35)*(G26^0.15)*(I26^0.15)</f>
        <v>0.25778490503168083</v>
      </c>
      <c r="P26" s="58">
        <f t="shared" ref="P26:P33" si="59">+(B26*0.4)+(D26*0.4)+(F26*0.1)+(H26*0.1)</f>
        <v>0.35816008486165912</v>
      </c>
      <c r="Q26" s="58">
        <f t="shared" ref="Q26:Q33" si="60">+(C26^0.4)*(E26^0.4)*(G26^0.1)*(I26^0.1)</f>
        <v>0.26838391402571893</v>
      </c>
      <c r="R26" s="82">
        <f t="shared" ref="R26:R33" si="61">+(D26*0.35)+(F26*0.4)+(H26*0.15)+(J26*0.1)</f>
        <v>0.33630442851475567</v>
      </c>
      <c r="S26" s="58">
        <f t="shared" ref="S26:S33" si="62">+(E26^0.35)*(G26^0.4)*(I26^0.15)*(K26^0.1)</f>
        <v>0.26050034444726688</v>
      </c>
      <c r="FA26" s="10"/>
      <c r="FB26" s="213"/>
      <c r="FC26" s="213"/>
    </row>
    <row r="27" spans="1:187" hidden="1" x14ac:dyDescent="0.2">
      <c r="A27" s="49" t="s">
        <v>224</v>
      </c>
      <c r="B27" s="54">
        <v>0.24464852422928174</v>
      </c>
      <c r="C27" s="72">
        <v>6.1641694149632255E-2</v>
      </c>
      <c r="D27" s="54">
        <v>0.36635270700102601</v>
      </c>
      <c r="E27" s="73">
        <v>0.3099481995671074</v>
      </c>
      <c r="F27" s="54">
        <v>0.24465646653158438</v>
      </c>
      <c r="G27" s="70">
        <v>0.19821952207960197</v>
      </c>
      <c r="H27" s="54">
        <v>5.2650000000000002E-2</v>
      </c>
      <c r="I27" s="89">
        <v>4.498888751680797E-2</v>
      </c>
      <c r="J27" s="68">
        <f t="shared" si="53"/>
        <v>0.227076924440473</v>
      </c>
      <c r="K27" s="67">
        <f t="shared" si="54"/>
        <v>0.11424937705425739</v>
      </c>
      <c r="L27" s="83">
        <f t="shared" si="55"/>
        <v>0.26196230932856768</v>
      </c>
      <c r="M27" s="67">
        <f t="shared" si="56"/>
        <v>0.13765866645623892</v>
      </c>
      <c r="N27" s="67">
        <f t="shared" si="57"/>
        <v>0.25844640091034538</v>
      </c>
      <c r="O27" s="77">
        <f t="shared" si="58"/>
        <v>0.12329487972837319</v>
      </c>
      <c r="P27" s="68">
        <f t="shared" si="59"/>
        <v>0.27413113914528159</v>
      </c>
      <c r="Q27" s="67">
        <f t="shared" si="60"/>
        <v>0.12808274942352471</v>
      </c>
      <c r="R27" s="83">
        <f t="shared" si="61"/>
        <v>0.25669122650704013</v>
      </c>
      <c r="S27" s="68">
        <f t="shared" si="62"/>
        <v>0.17561472717891963</v>
      </c>
      <c r="FA27" s="11"/>
      <c r="FB27" s="213"/>
      <c r="FC27" s="213"/>
    </row>
    <row r="28" spans="1:187" hidden="1" x14ac:dyDescent="0.2">
      <c r="A28" s="50" t="s">
        <v>73</v>
      </c>
      <c r="B28" s="54">
        <v>0.22189166666666665</v>
      </c>
      <c r="C28" s="71">
        <v>5.1685151184480679E-2</v>
      </c>
      <c r="D28" s="54">
        <v>0.34039320381761201</v>
      </c>
      <c r="E28" s="72">
        <v>0.27658240277352508</v>
      </c>
      <c r="F28" s="54">
        <v>0.16955238485494181</v>
      </c>
      <c r="G28" s="71">
        <v>0.12031462205882916</v>
      </c>
      <c r="H28" s="54">
        <v>4.8350000000000004E-2</v>
      </c>
      <c r="I28" s="89">
        <v>4.8321837713398277E-2</v>
      </c>
      <c r="J28" s="57">
        <f t="shared" si="53"/>
        <v>0.19504681383480513</v>
      </c>
      <c r="K28" s="57">
        <f t="shared" si="54"/>
        <v>9.5480140068315122E-2</v>
      </c>
      <c r="L28" s="84">
        <f t="shared" si="55"/>
        <v>0.22438617660176616</v>
      </c>
      <c r="M28" s="57">
        <f t="shared" si="56"/>
        <v>0.10941250679276472</v>
      </c>
      <c r="N28" s="57">
        <f t="shared" si="57"/>
        <v>0.2294850623977388</v>
      </c>
      <c r="O28" s="78">
        <f t="shared" si="58"/>
        <v>0.10446862910577043</v>
      </c>
      <c r="P28" s="57">
        <f t="shared" si="59"/>
        <v>0.24670418667920566</v>
      </c>
      <c r="Q28" s="57">
        <f t="shared" si="60"/>
        <v>0.10927537859557068</v>
      </c>
      <c r="R28" s="84">
        <f t="shared" si="61"/>
        <v>0.21371575666162143</v>
      </c>
      <c r="S28" s="57">
        <f t="shared" si="62"/>
        <v>0.13720779226265847</v>
      </c>
      <c r="FA28" s="1"/>
      <c r="FB28" s="213"/>
      <c r="FC28" s="213"/>
    </row>
    <row r="29" spans="1:187" hidden="1" x14ac:dyDescent="0.2">
      <c r="A29" s="50" t="s">
        <v>225</v>
      </c>
      <c r="B29" s="54">
        <v>0.24059791666666666</v>
      </c>
      <c r="C29" s="73">
        <v>0.10005570795317466</v>
      </c>
      <c r="D29" s="54">
        <v>0.3476931779815548</v>
      </c>
      <c r="E29" s="72">
        <v>0.29777865882546406</v>
      </c>
      <c r="F29" s="54">
        <v>0.21541077990211616</v>
      </c>
      <c r="G29" s="72">
        <v>0.15954126727384751</v>
      </c>
      <c r="H29" s="54">
        <v>4.2800000000000005E-2</v>
      </c>
      <c r="I29" s="90">
        <v>3.304542328371661E-2</v>
      </c>
      <c r="J29" s="67">
        <f t="shared" si="53"/>
        <v>0.21162546863758441</v>
      </c>
      <c r="K29" s="67">
        <f t="shared" si="54"/>
        <v>0.11195150822962492</v>
      </c>
      <c r="L29" s="85">
        <f t="shared" si="55"/>
        <v>0.24539056236510126</v>
      </c>
      <c r="M29" s="67">
        <f t="shared" si="56"/>
        <v>0.14289389512787953</v>
      </c>
      <c r="N29" s="67">
        <f t="shared" si="57"/>
        <v>0.24463350011219492</v>
      </c>
      <c r="O29" s="77">
        <f t="shared" si="58"/>
        <v>0.13312053583207778</v>
      </c>
      <c r="P29" s="67">
        <f t="shared" si="59"/>
        <v>0.26113751584950018</v>
      </c>
      <c r="Q29" s="67">
        <f t="shared" si="60"/>
        <v>0.14516188903328947</v>
      </c>
      <c r="R29" s="85">
        <f t="shared" si="61"/>
        <v>0.23543947111814906</v>
      </c>
      <c r="S29" s="67">
        <f t="shared" si="62"/>
        <v>0.15128004919934632</v>
      </c>
    </row>
    <row r="30" spans="1:187" hidden="1" x14ac:dyDescent="0.2">
      <c r="A30" s="51" t="s">
        <v>72</v>
      </c>
      <c r="B30" s="54">
        <v>0.24759583333333335</v>
      </c>
      <c r="C30" s="73">
        <v>0.10776312505723104</v>
      </c>
      <c r="D30" s="54">
        <v>0.36724498226008551</v>
      </c>
      <c r="E30" s="72">
        <v>0.30232202469277747</v>
      </c>
      <c r="F30" s="54">
        <v>0.12358408476019297</v>
      </c>
      <c r="G30" s="71">
        <v>0.10045629363875844</v>
      </c>
      <c r="H30" s="54">
        <v>5.5650000000000005E-2</v>
      </c>
      <c r="I30" s="89">
        <v>5.3768020235080261E-2</v>
      </c>
      <c r="J30" s="57">
        <f t="shared" si="53"/>
        <v>0.19851872508840296</v>
      </c>
      <c r="K30" s="67">
        <f t="shared" si="54"/>
        <v>0.11517554879595163</v>
      </c>
      <c r="L30" s="84">
        <f t="shared" si="55"/>
        <v>0.22709247010608352</v>
      </c>
      <c r="M30" s="67">
        <f t="shared" si="56"/>
        <v>0.13413049865904225</v>
      </c>
      <c r="N30" s="67">
        <f t="shared" si="57"/>
        <v>0.24207939817172555</v>
      </c>
      <c r="O30" s="79">
        <f t="shared" si="58"/>
        <v>0.13784917366867253</v>
      </c>
      <c r="P30" s="67">
        <f t="shared" si="59"/>
        <v>0.26385973471338686</v>
      </c>
      <c r="Q30" s="68">
        <f t="shared" si="60"/>
        <v>0.15080859902989385</v>
      </c>
      <c r="R30" s="84">
        <f t="shared" si="61"/>
        <v>0.20616875020394743</v>
      </c>
      <c r="S30" s="57">
        <f t="shared" si="62"/>
        <v>0.13635464021901944</v>
      </c>
    </row>
    <row r="31" spans="1:187" hidden="1" x14ac:dyDescent="0.2">
      <c r="A31" s="51" t="s">
        <v>152</v>
      </c>
      <c r="B31" s="54">
        <v>0.25283958333333334</v>
      </c>
      <c r="C31" s="73">
        <v>0.10933788690159293</v>
      </c>
      <c r="D31" s="54">
        <v>0.41050913839619063</v>
      </c>
      <c r="E31" s="73">
        <v>0.34360880930172577</v>
      </c>
      <c r="F31" s="54">
        <v>0.20921153903984538</v>
      </c>
      <c r="G31" s="72">
        <v>0.16184082075800854</v>
      </c>
      <c r="H31" s="54">
        <v>8.0649999999999999E-2</v>
      </c>
      <c r="I31" s="88">
        <v>7.511990415329349E-2</v>
      </c>
      <c r="J31" s="68">
        <f t="shared" si="53"/>
        <v>0.23830256519234233</v>
      </c>
      <c r="K31" s="68">
        <f t="shared" si="54"/>
        <v>0.14619062264357424</v>
      </c>
      <c r="L31" s="83">
        <f t="shared" si="55"/>
        <v>0.26983307823081082</v>
      </c>
      <c r="M31" s="68">
        <f t="shared" si="56"/>
        <v>0.16701382172087398</v>
      </c>
      <c r="N31" s="68">
        <f t="shared" si="57"/>
        <v>0.27565128346131018</v>
      </c>
      <c r="O31" s="79">
        <f t="shared" si="58"/>
        <v>0.16365101478347074</v>
      </c>
      <c r="P31" s="68">
        <f t="shared" si="59"/>
        <v>0.29432564259579408</v>
      </c>
      <c r="Q31" s="68">
        <f t="shared" si="60"/>
        <v>0.17314832558237669</v>
      </c>
      <c r="R31" s="83">
        <f t="shared" si="61"/>
        <v>0.26329057057383909</v>
      </c>
      <c r="S31" s="68">
        <f t="shared" si="62"/>
        <v>0.18582876284882327</v>
      </c>
    </row>
    <row r="32" spans="1:187" hidden="1" x14ac:dyDescent="0.2">
      <c r="A32" s="52" t="s">
        <v>226</v>
      </c>
      <c r="B32" s="54">
        <v>0.21988333333333338</v>
      </c>
      <c r="C32" s="72">
        <v>5.7278194804069135E-2</v>
      </c>
      <c r="D32" s="54">
        <v>0.34219905191643957</v>
      </c>
      <c r="E32" s="72">
        <v>0.28264653942729151</v>
      </c>
      <c r="F32" s="54">
        <v>0.26658385247571825</v>
      </c>
      <c r="G32" s="70">
        <v>0.22406067442659247</v>
      </c>
      <c r="H32" s="54">
        <v>5.3650000000000003E-2</v>
      </c>
      <c r="I32" s="89">
        <v>4.6733285782191693E-2</v>
      </c>
      <c r="J32" s="67">
        <f t="shared" si="53"/>
        <v>0.22057905943137279</v>
      </c>
      <c r="K32" s="67">
        <f t="shared" si="54"/>
        <v>0.11410541048525184</v>
      </c>
      <c r="L32" s="85">
        <f t="shared" si="55"/>
        <v>0.25396487131764733</v>
      </c>
      <c r="M32" s="67">
        <f t="shared" si="56"/>
        <v>0.13640874766139427</v>
      </c>
      <c r="N32" s="67">
        <f t="shared" si="57"/>
        <v>0.24476391270877826</v>
      </c>
      <c r="O32" s="77">
        <f t="shared" si="58"/>
        <v>0.11918739877240016</v>
      </c>
      <c r="P32" s="67">
        <f t="shared" si="59"/>
        <v>0.25685633934748103</v>
      </c>
      <c r="Q32" s="67">
        <f t="shared" si="60"/>
        <v>0.12181265062479946</v>
      </c>
      <c r="R32" s="83">
        <f t="shared" si="61"/>
        <v>0.25650861510417844</v>
      </c>
      <c r="S32" s="68">
        <f t="shared" si="62"/>
        <v>0.17957923297849304</v>
      </c>
    </row>
    <row r="33" spans="1:19" hidden="1" x14ac:dyDescent="0.2">
      <c r="A33" s="49" t="s">
        <v>227</v>
      </c>
      <c r="B33" s="54">
        <v>0.2265625</v>
      </c>
      <c r="C33" s="72">
        <v>7.6355975919339542E-2</v>
      </c>
      <c r="D33" s="54">
        <v>0.35239191276227227</v>
      </c>
      <c r="E33" s="72">
        <v>0.29583453330828607</v>
      </c>
      <c r="F33" s="54">
        <v>0.22355281379883624</v>
      </c>
      <c r="G33" s="72">
        <v>0.1744860086480112</v>
      </c>
      <c r="H33" s="54">
        <v>3.925E-2</v>
      </c>
      <c r="I33" s="90">
        <v>3.7749172176353749E-2</v>
      </c>
      <c r="J33" s="67">
        <f t="shared" si="53"/>
        <v>0.21043930664027716</v>
      </c>
      <c r="K33" s="67">
        <f t="shared" si="54"/>
        <v>0.11044345529247034</v>
      </c>
      <c r="L33" s="85">
        <f t="shared" si="55"/>
        <v>0.24467716796833255</v>
      </c>
      <c r="M33" s="67">
        <f t="shared" si="56"/>
        <v>0.13689465638341641</v>
      </c>
      <c r="N33" s="67">
        <f t="shared" si="57"/>
        <v>0.24205446653662072</v>
      </c>
      <c r="O33" s="77">
        <f t="shared" si="58"/>
        <v>0.12492874333296579</v>
      </c>
      <c r="P33" s="67">
        <f t="shared" si="59"/>
        <v>0.25786204648479255</v>
      </c>
      <c r="Q33" s="67">
        <f t="shared" si="60"/>
        <v>0.13286896879257462</v>
      </c>
      <c r="R33" s="85">
        <f t="shared" si="61"/>
        <v>0.23968972565035751</v>
      </c>
      <c r="S33" s="67">
        <f t="shared" si="62"/>
        <v>0.15937546346095138</v>
      </c>
    </row>
    <row r="34" spans="1:19" hidden="1" x14ac:dyDescent="0.2"/>
    <row r="37" spans="1:19" ht="12.75" customHeight="1" x14ac:dyDescent="0.2">
      <c r="A37" s="36" t="s">
        <v>0</v>
      </c>
      <c r="B37" s="328" t="s">
        <v>251</v>
      </c>
      <c r="C37" s="328"/>
      <c r="D37" s="328"/>
      <c r="E37" s="328"/>
    </row>
    <row r="38" spans="1:19" ht="41.25" customHeight="1" x14ac:dyDescent="0.2">
      <c r="A38" s="36"/>
      <c r="B38" s="44" t="s">
        <v>222</v>
      </c>
      <c r="C38" s="44" t="s">
        <v>160</v>
      </c>
      <c r="D38" s="44" t="s">
        <v>168</v>
      </c>
      <c r="E38" s="44" t="s">
        <v>238</v>
      </c>
      <c r="H38" s="36"/>
      <c r="I38" s="164" t="s">
        <v>222</v>
      </c>
      <c r="J38" s="164" t="s">
        <v>160</v>
      </c>
      <c r="K38" s="164" t="s">
        <v>168</v>
      </c>
      <c r="L38" s="164" t="s">
        <v>238</v>
      </c>
    </row>
    <row r="39" spans="1:19" x14ac:dyDescent="0.2">
      <c r="A39" s="48" t="s">
        <v>74</v>
      </c>
      <c r="B39" s="193">
        <v>0.12139999999999999</v>
      </c>
      <c r="C39" s="193">
        <v>1.7600000000000001E-2</v>
      </c>
      <c r="D39" s="193">
        <v>0.1900842901355391</v>
      </c>
      <c r="E39" s="193">
        <v>0.47580908388775778</v>
      </c>
      <c r="H39" s="49" t="s">
        <v>71</v>
      </c>
      <c r="I39" s="194">
        <f>0.2162*100</f>
        <v>21.62</v>
      </c>
      <c r="J39" s="194">
        <f>0.061*100</f>
        <v>6.1</v>
      </c>
      <c r="K39" s="194">
        <f>0.258624516148287*100</f>
        <v>25.862451614828704</v>
      </c>
      <c r="L39" s="194">
        <f>0.489914712961516*100</f>
        <v>48.991471296151602</v>
      </c>
    </row>
    <row r="40" spans="1:19" x14ac:dyDescent="0.2">
      <c r="A40" s="49" t="s">
        <v>71</v>
      </c>
      <c r="B40" s="193">
        <v>0.2162</v>
      </c>
      <c r="C40" s="193">
        <v>6.0999999999999999E-2</v>
      </c>
      <c r="D40" s="193">
        <v>0.25862451614828708</v>
      </c>
      <c r="E40" s="193">
        <v>0.48991471296151601</v>
      </c>
      <c r="I40" s="194"/>
      <c r="J40" s="194"/>
      <c r="K40" s="194"/>
      <c r="L40" s="194"/>
    </row>
    <row r="41" spans="1:19" x14ac:dyDescent="0.2">
      <c r="A41" s="49" t="s">
        <v>224</v>
      </c>
      <c r="B41" s="193">
        <v>7.4494096917126801E-2</v>
      </c>
      <c r="C41" s="193">
        <v>2.2000000000000001E-3</v>
      </c>
      <c r="D41" s="193">
        <v>0.17576698008672542</v>
      </c>
      <c r="E41" s="193">
        <v>0.50120619886868178</v>
      </c>
    </row>
    <row r="42" spans="1:19" x14ac:dyDescent="0.2">
      <c r="A42" s="50" t="s">
        <v>73</v>
      </c>
      <c r="B42" s="193">
        <v>3.7400000000000003E-2</v>
      </c>
      <c r="C42" s="193">
        <v>2.2000000000000001E-3</v>
      </c>
      <c r="D42" s="193">
        <v>0.18036773711353407</v>
      </c>
      <c r="E42" s="193">
        <v>0.4808504470820783</v>
      </c>
    </row>
    <row r="43" spans="1:19" x14ac:dyDescent="0.2">
      <c r="A43" s="50" t="s">
        <v>225</v>
      </c>
      <c r="B43" s="193">
        <v>0.1065</v>
      </c>
      <c r="C43" s="193">
        <v>1.0699999999999999E-2</v>
      </c>
      <c r="D43" s="193">
        <v>0.18589918141559297</v>
      </c>
      <c r="E43" s="193">
        <v>0.4731039934640045</v>
      </c>
    </row>
    <row r="44" spans="1:19" x14ac:dyDescent="0.2">
      <c r="A44" s="51" t="s">
        <v>72</v>
      </c>
      <c r="B44" s="193">
        <v>0.157</v>
      </c>
      <c r="C44" s="193">
        <v>1.0999999999999999E-2</v>
      </c>
      <c r="D44" s="193">
        <v>0.18805516984211801</v>
      </c>
      <c r="E44" s="193">
        <v>0.41524373987894997</v>
      </c>
    </row>
    <row r="45" spans="1:19" x14ac:dyDescent="0.2">
      <c r="A45" s="51" t="s">
        <v>152</v>
      </c>
      <c r="B45" s="193">
        <v>0.1409</v>
      </c>
      <c r="C45" s="193">
        <v>1.47E-2</v>
      </c>
      <c r="D45" s="193">
        <v>0.14978557504785733</v>
      </c>
      <c r="E45" s="193">
        <v>0.4606641188650617</v>
      </c>
    </row>
    <row r="46" spans="1:19" x14ac:dyDescent="0.2">
      <c r="A46" s="52" t="s">
        <v>226</v>
      </c>
      <c r="B46" s="193">
        <v>4.41E-2</v>
      </c>
      <c r="C46" s="193">
        <v>3.5999999999999999E-3</v>
      </c>
      <c r="D46" s="193">
        <v>0.14828731240730605</v>
      </c>
      <c r="E46" s="193">
        <v>0.45720629829046355</v>
      </c>
    </row>
    <row r="47" spans="1:19" x14ac:dyDescent="0.2">
      <c r="A47" s="49" t="s">
        <v>227</v>
      </c>
      <c r="B47" s="193">
        <v>7.1500000000000008E-2</v>
      </c>
      <c r="C47" s="193">
        <v>7.4000000000000003E-3</v>
      </c>
      <c r="D47" s="193">
        <v>0.1362594940128066</v>
      </c>
      <c r="E47" s="193">
        <v>0.47148469098917062</v>
      </c>
    </row>
    <row r="51" spans="1:21" ht="12.75" customHeight="1" x14ac:dyDescent="0.2">
      <c r="A51" s="36" t="s">
        <v>0</v>
      </c>
      <c r="B51" s="241" t="s">
        <v>250</v>
      </c>
      <c r="C51" s="241"/>
      <c r="D51" s="241"/>
      <c r="E51" s="241"/>
      <c r="F51" s="241"/>
      <c r="G51" s="241"/>
      <c r="H51" s="241"/>
      <c r="I51" s="241"/>
      <c r="J51" s="241"/>
    </row>
    <row r="52" spans="1:21" ht="76.5" x14ac:dyDescent="0.2">
      <c r="A52" s="36"/>
      <c r="B52" s="35" t="s">
        <v>177</v>
      </c>
      <c r="C52" s="35" t="s">
        <v>239</v>
      </c>
      <c r="D52" s="35" t="s">
        <v>240</v>
      </c>
      <c r="E52" s="35" t="s">
        <v>241</v>
      </c>
      <c r="F52" s="35" t="s">
        <v>242</v>
      </c>
      <c r="G52" s="35" t="s">
        <v>187</v>
      </c>
      <c r="H52" s="35" t="s">
        <v>189</v>
      </c>
      <c r="I52" s="35" t="s">
        <v>192</v>
      </c>
      <c r="J52" s="35" t="s">
        <v>197</v>
      </c>
      <c r="L52" s="36"/>
      <c r="M52" s="35" t="s">
        <v>177</v>
      </c>
      <c r="N52" s="35" t="s">
        <v>239</v>
      </c>
      <c r="O52" s="35" t="s">
        <v>240</v>
      </c>
      <c r="P52" s="35" t="s">
        <v>241</v>
      </c>
      <c r="Q52" s="35" t="s">
        <v>242</v>
      </c>
      <c r="R52" s="35" t="s">
        <v>187</v>
      </c>
      <c r="S52" s="35" t="s">
        <v>189</v>
      </c>
      <c r="T52" s="35" t="s">
        <v>192</v>
      </c>
      <c r="U52" s="35" t="s">
        <v>197</v>
      </c>
    </row>
    <row r="53" spans="1:21" x14ac:dyDescent="0.2">
      <c r="A53" s="48" t="s">
        <v>74</v>
      </c>
      <c r="B53" s="92">
        <v>0.38682984327003694</v>
      </c>
      <c r="C53" s="92">
        <v>0.17937622634683595</v>
      </c>
      <c r="D53" s="92">
        <v>0.35797576131696329</v>
      </c>
      <c r="E53" s="92">
        <v>0.38100000000000001</v>
      </c>
      <c r="F53" s="92">
        <v>0.35241893291381693</v>
      </c>
      <c r="G53" s="92">
        <v>0.67111661107071519</v>
      </c>
      <c r="H53" s="92">
        <v>4.07E-2</v>
      </c>
      <c r="I53" s="92">
        <v>0.15786895973885834</v>
      </c>
      <c r="J53" s="92">
        <v>0.41224789261985162</v>
      </c>
      <c r="L53" s="49" t="s">
        <v>71</v>
      </c>
      <c r="M53" s="194">
        <v>50.925059484878709</v>
      </c>
      <c r="N53" s="194">
        <v>24.495119109158274</v>
      </c>
      <c r="O53" s="194">
        <v>40.356712813257758</v>
      </c>
      <c r="P53" s="194">
        <v>42.4</v>
      </c>
      <c r="Q53" s="194">
        <v>65.988815121732685</v>
      </c>
      <c r="R53" s="194">
        <v>75.071286644516519</v>
      </c>
      <c r="S53" s="194">
        <v>3.8</v>
      </c>
      <c r="T53" s="194">
        <v>23.841479610880477</v>
      </c>
      <c r="U53" s="194">
        <v>33.47469590748527</v>
      </c>
    </row>
    <row r="54" spans="1:21" x14ac:dyDescent="0.2">
      <c r="A54" s="49" t="s">
        <v>71</v>
      </c>
      <c r="B54" s="92">
        <v>0.5092505948487871</v>
      </c>
      <c r="C54" s="92">
        <v>0.24495119109158275</v>
      </c>
      <c r="D54" s="92">
        <v>0.40356712813257756</v>
      </c>
      <c r="E54" s="92">
        <v>0.42399999999999999</v>
      </c>
      <c r="F54" s="92">
        <v>0.65988815121732691</v>
      </c>
      <c r="G54" s="92">
        <v>0.75071286644516522</v>
      </c>
      <c r="H54" s="92">
        <v>3.7999999999999999E-2</v>
      </c>
      <c r="I54" s="92">
        <v>0.23841479610880476</v>
      </c>
      <c r="J54" s="92">
        <v>0.49831871723030108</v>
      </c>
      <c r="M54" s="194"/>
      <c r="N54" s="194"/>
      <c r="O54" s="194"/>
      <c r="P54" s="194"/>
      <c r="Q54" s="194"/>
      <c r="R54" s="194"/>
      <c r="S54" s="194"/>
      <c r="T54" s="194"/>
      <c r="U54" s="194"/>
    </row>
    <row r="55" spans="1:21" x14ac:dyDescent="0.2">
      <c r="A55" s="49" t="s">
        <v>224</v>
      </c>
      <c r="B55" s="92">
        <v>0.33372549067914403</v>
      </c>
      <c r="C55" s="92">
        <v>0.1378305015876739</v>
      </c>
      <c r="D55" s="92">
        <v>0.35378832710311481</v>
      </c>
      <c r="E55" s="92">
        <v>0.39200000000000002</v>
      </c>
      <c r="F55" s="92">
        <v>0.31102028964949219</v>
      </c>
      <c r="G55" s="92">
        <v>0.6730505529030899</v>
      </c>
      <c r="H55" s="92">
        <v>5.0999999999999997E-2</v>
      </c>
      <c r="I55" s="92">
        <v>0.10366289993830075</v>
      </c>
      <c r="J55" s="92">
        <v>0.43345573424315065</v>
      </c>
    </row>
    <row r="56" spans="1:21" x14ac:dyDescent="0.2">
      <c r="A56" s="50" t="s">
        <v>73</v>
      </c>
      <c r="B56" s="92">
        <v>0.28220436873119636</v>
      </c>
      <c r="C56" s="92">
        <v>0.15558428993059095</v>
      </c>
      <c r="D56" s="92">
        <v>0.32017587823960342</v>
      </c>
      <c r="E56" s="92">
        <v>0.32100000000000001</v>
      </c>
      <c r="F56" s="92">
        <v>0.22907571599578713</v>
      </c>
      <c r="G56" s="92">
        <v>0.73122614749198966</v>
      </c>
      <c r="H56" s="92">
        <v>2.1000000000000001E-2</v>
      </c>
      <c r="I56" s="92">
        <v>0.17546724168983163</v>
      </c>
      <c r="J56" s="92">
        <v>0.25350798288272675</v>
      </c>
    </row>
    <row r="57" spans="1:21" x14ac:dyDescent="0.2">
      <c r="A57" s="50" t="s">
        <v>225</v>
      </c>
      <c r="B57" s="92">
        <v>0.36932986076168972</v>
      </c>
      <c r="C57" s="92">
        <v>0.1606603422693289</v>
      </c>
      <c r="D57" s="92">
        <v>0.32890173310354454</v>
      </c>
      <c r="E57" s="92">
        <v>0.34599999999999997</v>
      </c>
      <c r="F57" s="92">
        <v>0.30321143876323919</v>
      </c>
      <c r="G57" s="92">
        <v>0.64875384163217298</v>
      </c>
      <c r="H57" s="92">
        <v>3.1E-2</v>
      </c>
      <c r="I57" s="92">
        <v>0.11091086673815621</v>
      </c>
      <c r="J57" s="92">
        <v>0.38123984616104467</v>
      </c>
    </row>
    <row r="58" spans="1:21" x14ac:dyDescent="0.2">
      <c r="A58" s="51" t="s">
        <v>72</v>
      </c>
      <c r="B58" s="92">
        <v>0.31502820609104254</v>
      </c>
      <c r="C58" s="92">
        <v>0.21424928548825231</v>
      </c>
      <c r="D58" s="92">
        <v>0.32439524413674925</v>
      </c>
      <c r="E58" s="92">
        <v>0.32700000000000001</v>
      </c>
      <c r="F58" s="92">
        <v>0.27504775951735694</v>
      </c>
      <c r="G58" s="92">
        <v>0.75474009066000358</v>
      </c>
      <c r="H58" s="92">
        <v>1.9E-2</v>
      </c>
      <c r="I58" s="92">
        <v>0.109809674282963</v>
      </c>
      <c r="J58" s="92">
        <v>0.38162796205862953</v>
      </c>
    </row>
    <row r="59" spans="1:21" x14ac:dyDescent="0.2">
      <c r="A59" s="51" t="s">
        <v>152</v>
      </c>
      <c r="B59" s="92">
        <v>0.36764397277484856</v>
      </c>
      <c r="C59" s="92">
        <v>0.16868745579376349</v>
      </c>
      <c r="D59" s="92">
        <v>0.31334896892704406</v>
      </c>
      <c r="E59" s="92">
        <v>0.42699999999999999</v>
      </c>
      <c r="F59" s="92">
        <v>0.4679347909147214</v>
      </c>
      <c r="G59" s="92">
        <v>0.67416146554160195</v>
      </c>
      <c r="H59" s="92">
        <v>0.105</v>
      </c>
      <c r="I59" s="92">
        <v>0.19643023319767305</v>
      </c>
      <c r="J59" s="92">
        <v>0.37227239656587963</v>
      </c>
    </row>
    <row r="60" spans="1:21" x14ac:dyDescent="0.2">
      <c r="A60" s="52" t="s">
        <v>226</v>
      </c>
      <c r="B60" s="92">
        <v>0.35840965143280046</v>
      </c>
      <c r="C60" s="92">
        <v>0.13200793254480525</v>
      </c>
      <c r="D60" s="92">
        <v>0.29667538693489798</v>
      </c>
      <c r="E60" s="92">
        <v>0.36299999999999999</v>
      </c>
      <c r="F60" s="92">
        <v>0.32282943387667618</v>
      </c>
      <c r="G60" s="92">
        <v>0.56095959040063437</v>
      </c>
      <c r="H60" s="92">
        <v>4.9000000000000002E-2</v>
      </c>
      <c r="I60" s="92">
        <v>0.11159605016771142</v>
      </c>
      <c r="J60" s="92">
        <v>0.34934080948809815</v>
      </c>
    </row>
    <row r="61" spans="1:21" x14ac:dyDescent="0.2">
      <c r="A61" s="49" t="s">
        <v>227</v>
      </c>
      <c r="B61" s="92">
        <v>0.35845028284131458</v>
      </c>
      <c r="C61" s="92">
        <v>0.11641899952465386</v>
      </c>
      <c r="D61" s="92">
        <v>0.34708968994858697</v>
      </c>
      <c r="E61" s="92">
        <v>0.36699999999999999</v>
      </c>
      <c r="F61" s="92">
        <v>0.42777317351838601</v>
      </c>
      <c r="G61" s="92">
        <v>0.5576373877447508</v>
      </c>
      <c r="H61" s="92">
        <v>0.02</v>
      </c>
      <c r="I61" s="92">
        <v>0.10649743012475635</v>
      </c>
      <c r="J61" s="92">
        <v>0.3616438360721263</v>
      </c>
    </row>
    <row r="65" spans="1:8" ht="38.25" x14ac:dyDescent="0.25">
      <c r="A65" s="36" t="s">
        <v>0</v>
      </c>
      <c r="B65" s="47" t="s">
        <v>249</v>
      </c>
      <c r="C65"/>
    </row>
    <row r="66" spans="1:8" ht="38.25" customHeight="1" x14ac:dyDescent="0.25">
      <c r="A66" s="36"/>
      <c r="B66" s="94" t="s">
        <v>248</v>
      </c>
      <c r="C66"/>
      <c r="D66" s="36"/>
      <c r="E66" s="49" t="s">
        <v>71</v>
      </c>
      <c r="F66"/>
      <c r="G66"/>
      <c r="H66"/>
    </row>
    <row r="67" spans="1:8" ht="38.25" x14ac:dyDescent="0.2">
      <c r="A67" s="48" t="s">
        <v>74</v>
      </c>
      <c r="B67" s="92">
        <v>0.17715868176174457</v>
      </c>
      <c r="D67" s="94" t="s">
        <v>248</v>
      </c>
      <c r="E67" s="195">
        <f>0.177158681761745*100</f>
        <v>17.715868176174503</v>
      </c>
    </row>
    <row r="68" spans="1:8" x14ac:dyDescent="0.2">
      <c r="A68" s="49" t="s">
        <v>71</v>
      </c>
      <c r="B68" s="92">
        <v>0.19757908775585581</v>
      </c>
    </row>
    <row r="69" spans="1:8" x14ac:dyDescent="0.2">
      <c r="A69" s="49" t="s">
        <v>224</v>
      </c>
      <c r="B69" s="92">
        <v>0.19821952207960197</v>
      </c>
    </row>
    <row r="70" spans="1:8" x14ac:dyDescent="0.2">
      <c r="A70" s="50" t="s">
        <v>73</v>
      </c>
      <c r="B70" s="92">
        <v>0.12031462205882916</v>
      </c>
    </row>
    <row r="71" spans="1:8" x14ac:dyDescent="0.2">
      <c r="A71" s="50" t="s">
        <v>225</v>
      </c>
      <c r="B71" s="92">
        <v>0.15954126727384751</v>
      </c>
    </row>
    <row r="72" spans="1:8" x14ac:dyDescent="0.2">
      <c r="A72" s="51" t="s">
        <v>72</v>
      </c>
      <c r="B72" s="92">
        <v>0.10045629363875844</v>
      </c>
    </row>
    <row r="73" spans="1:8" x14ac:dyDescent="0.2">
      <c r="A73" s="51" t="s">
        <v>152</v>
      </c>
      <c r="B73" s="92">
        <v>0.16184082075800854</v>
      </c>
    </row>
    <row r="74" spans="1:8" x14ac:dyDescent="0.2">
      <c r="A74" s="52" t="s">
        <v>226</v>
      </c>
      <c r="B74" s="92">
        <v>0.22406067442659247</v>
      </c>
    </row>
    <row r="75" spans="1:8" x14ac:dyDescent="0.2">
      <c r="A75" s="49" t="s">
        <v>227</v>
      </c>
      <c r="B75" s="92">
        <v>0.1744860086480112</v>
      </c>
    </row>
    <row r="79" spans="1:8" ht="42.75" customHeight="1" x14ac:dyDescent="0.25">
      <c r="A79" s="36" t="s">
        <v>0</v>
      </c>
      <c r="B79" s="46" t="s">
        <v>253</v>
      </c>
      <c r="C79"/>
      <c r="D79" s="36"/>
      <c r="E79" s="49" t="s">
        <v>71</v>
      </c>
    </row>
    <row r="80" spans="1:8" ht="25.5" x14ac:dyDescent="0.25">
      <c r="A80" s="36"/>
      <c r="B80" s="93" t="s">
        <v>252</v>
      </c>
      <c r="C80"/>
      <c r="D80" s="93" t="s">
        <v>252</v>
      </c>
      <c r="E80" s="195">
        <f>0.191332171889622*100</f>
        <v>19.133217188962202</v>
      </c>
    </row>
    <row r="81" spans="1:19" x14ac:dyDescent="0.2">
      <c r="A81" s="48" t="s">
        <v>74</v>
      </c>
      <c r="B81" s="92">
        <v>6.8760453750684333E-2</v>
      </c>
    </row>
    <row r="82" spans="1:19" x14ac:dyDescent="0.2">
      <c r="A82" s="49" t="s">
        <v>71</v>
      </c>
      <c r="B82" s="92">
        <v>0.19133217188962237</v>
      </c>
    </row>
    <row r="83" spans="1:19" x14ac:dyDescent="0.2">
      <c r="A83" s="49" t="s">
        <v>224</v>
      </c>
      <c r="B83" s="92">
        <v>4.498888751680797E-2</v>
      </c>
    </row>
    <row r="84" spans="1:19" x14ac:dyDescent="0.2">
      <c r="A84" s="50" t="s">
        <v>73</v>
      </c>
      <c r="B84" s="92">
        <v>4.8321837713398277E-2</v>
      </c>
    </row>
    <row r="85" spans="1:19" x14ac:dyDescent="0.2">
      <c r="A85" s="50" t="s">
        <v>225</v>
      </c>
      <c r="B85" s="92">
        <v>3.304542328371661E-2</v>
      </c>
    </row>
    <row r="86" spans="1:19" x14ac:dyDescent="0.2">
      <c r="A86" s="51" t="s">
        <v>72</v>
      </c>
      <c r="B86" s="92">
        <v>5.3768020235080261E-2</v>
      </c>
    </row>
    <row r="87" spans="1:19" x14ac:dyDescent="0.2">
      <c r="A87" s="51" t="s">
        <v>152</v>
      </c>
      <c r="B87" s="92">
        <v>7.511990415329349E-2</v>
      </c>
    </row>
    <row r="88" spans="1:19" x14ac:dyDescent="0.2">
      <c r="A88" s="52" t="s">
        <v>226</v>
      </c>
      <c r="B88" s="92">
        <v>4.6733285782191693E-2</v>
      </c>
    </row>
    <row r="89" spans="1:19" x14ac:dyDescent="0.2">
      <c r="A89" s="49" t="s">
        <v>227</v>
      </c>
      <c r="B89" s="92">
        <v>3.7749172176353749E-2</v>
      </c>
    </row>
    <row r="93" spans="1:19" ht="25.5" x14ac:dyDescent="0.25">
      <c r="F93" s="59" t="s">
        <v>266</v>
      </c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ht="59.25" customHeight="1" x14ac:dyDescent="0.25">
      <c r="B94" s="6" t="s">
        <v>251</v>
      </c>
      <c r="C94" s="40" t="s">
        <v>250</v>
      </c>
      <c r="D94" s="47" t="s">
        <v>249</v>
      </c>
      <c r="E94" s="53" t="s">
        <v>253</v>
      </c>
      <c r="F94" s="59" t="s">
        <v>263</v>
      </c>
      <c r="H94"/>
      <c r="I94"/>
      <c r="J94"/>
      <c r="K94"/>
      <c r="L94"/>
      <c r="M94"/>
      <c r="N94"/>
      <c r="O94"/>
      <c r="P94"/>
      <c r="Q94"/>
      <c r="R94"/>
      <c r="S94"/>
    </row>
    <row r="95" spans="1:19" ht="15" hidden="1" x14ac:dyDescent="0.25">
      <c r="A95" s="48" t="s">
        <v>74</v>
      </c>
      <c r="B95" s="55">
        <v>8.8679308639023249E-2</v>
      </c>
      <c r="C95" s="55">
        <v>0.32661491414189764</v>
      </c>
      <c r="D95" s="55">
        <v>0.17715868176174457</v>
      </c>
      <c r="E95" s="56">
        <v>6.8760453750684333E-2</v>
      </c>
      <c r="F95" s="55">
        <f>+(B95^0.4)*(C95^0.4)*(D95^0.1)*(E95^0.1)</f>
        <v>0.15606784786915129</v>
      </c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ht="15" x14ac:dyDescent="0.25">
      <c r="A96" s="49" t="s">
        <v>71</v>
      </c>
      <c r="B96" s="58">
        <v>0.20218266861424528</v>
      </c>
      <c r="C96" s="58">
        <v>0.41856704945272732</v>
      </c>
      <c r="D96" s="58">
        <v>0.19757908775585581</v>
      </c>
      <c r="E96" s="87">
        <v>0.19133217188962237</v>
      </c>
      <c r="F96" s="58">
        <f t="shared" ref="F96:F103" si="63">+(B96^0.4)*(C96^0.4)*(D96^0.1)*(E96^0.1)</f>
        <v>0.26838391402571893</v>
      </c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ht="15" x14ac:dyDescent="0.25">
      <c r="A97" s="49" t="s">
        <v>224</v>
      </c>
      <c r="B97" s="67">
        <v>6.1641694149632255E-2</v>
      </c>
      <c r="C97" s="68">
        <v>0.3099481995671074</v>
      </c>
      <c r="D97" s="58">
        <v>0.19821952207960197</v>
      </c>
      <c r="E97" s="89">
        <v>4.498888751680797E-2</v>
      </c>
      <c r="F97" s="67">
        <f t="shared" si="63"/>
        <v>0.12808274942352471</v>
      </c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ht="15" x14ac:dyDescent="0.25">
      <c r="A98" s="50" t="s">
        <v>73</v>
      </c>
      <c r="B98" s="57">
        <v>5.1685151184480679E-2</v>
      </c>
      <c r="C98" s="67">
        <v>0.27658240277352508</v>
      </c>
      <c r="D98" s="57">
        <v>0.12031462205882916</v>
      </c>
      <c r="E98" s="89">
        <v>4.8321837713398277E-2</v>
      </c>
      <c r="F98" s="57">
        <f t="shared" si="63"/>
        <v>0.10927537859557068</v>
      </c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ht="15" x14ac:dyDescent="0.25">
      <c r="A99" s="50" t="s">
        <v>225</v>
      </c>
      <c r="B99" s="68">
        <v>0.10005570795317466</v>
      </c>
      <c r="C99" s="67">
        <v>0.29777865882546406</v>
      </c>
      <c r="D99" s="67">
        <v>0.15954126727384751</v>
      </c>
      <c r="E99" s="90">
        <v>3.304542328371661E-2</v>
      </c>
      <c r="F99" s="67">
        <f t="shared" si="63"/>
        <v>0.14516188903328947</v>
      </c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ht="15" x14ac:dyDescent="0.25">
      <c r="A100" s="51" t="s">
        <v>72</v>
      </c>
      <c r="B100" s="68">
        <v>0.10776312505723104</v>
      </c>
      <c r="C100" s="67">
        <v>0.30232202469277747</v>
      </c>
      <c r="D100" s="57">
        <v>0.10045629363875844</v>
      </c>
      <c r="E100" s="89">
        <v>5.3768020235080261E-2</v>
      </c>
      <c r="F100" s="68">
        <f t="shared" si="63"/>
        <v>0.15080859902989385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ht="15" x14ac:dyDescent="0.25">
      <c r="A101" s="51" t="s">
        <v>152</v>
      </c>
      <c r="B101" s="68">
        <v>0.10933788690159293</v>
      </c>
      <c r="C101" s="68">
        <v>0.34360880930172577</v>
      </c>
      <c r="D101" s="67">
        <v>0.16184082075800854</v>
      </c>
      <c r="E101" s="88">
        <v>7.511990415329349E-2</v>
      </c>
      <c r="F101" s="68">
        <f t="shared" si="63"/>
        <v>0.17314832558237669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ht="15" x14ac:dyDescent="0.25">
      <c r="A102" s="52" t="s">
        <v>226</v>
      </c>
      <c r="B102" s="67">
        <v>5.7278194804069135E-2</v>
      </c>
      <c r="C102" s="67">
        <v>0.28264653942729151</v>
      </c>
      <c r="D102" s="58">
        <v>0.22406067442659247</v>
      </c>
      <c r="E102" s="89">
        <v>4.6733285782191693E-2</v>
      </c>
      <c r="F102" s="67">
        <f t="shared" si="63"/>
        <v>0.12181265062479946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ht="15" x14ac:dyDescent="0.25">
      <c r="A103" s="49" t="s">
        <v>227</v>
      </c>
      <c r="B103" s="67">
        <v>7.6355975919339542E-2</v>
      </c>
      <c r="C103" s="67">
        <v>0.29583453330828607</v>
      </c>
      <c r="D103" s="67">
        <v>0.1744860086480112</v>
      </c>
      <c r="E103" s="90">
        <v>3.7749172176353749E-2</v>
      </c>
      <c r="F103" s="67">
        <f t="shared" si="63"/>
        <v>0.13286896879257462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ht="15" x14ac:dyDescent="0.25"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8" spans="1:19" x14ac:dyDescent="0.2">
      <c r="B108" s="138">
        <f>+B96-B98</f>
        <v>0.15049751742976458</v>
      </c>
      <c r="C108" s="138">
        <f>+C96-C98</f>
        <v>0.14198464667920224</v>
      </c>
      <c r="D108" s="138">
        <f>+D102-D100</f>
        <v>0.12360438078783403</v>
      </c>
      <c r="E108" s="18">
        <f>+E96-E99</f>
        <v>0.15828674860590575</v>
      </c>
      <c r="F108" s="138">
        <f>+F96-F98</f>
        <v>0.15910853543014825</v>
      </c>
    </row>
    <row r="109" spans="1:19" x14ac:dyDescent="0.2">
      <c r="B109" s="138">
        <f>+B108/3</f>
        <v>5.0165839143254863E-2</v>
      </c>
      <c r="C109" s="138">
        <f>+C108/3</f>
        <v>4.7328215559734078E-2</v>
      </c>
      <c r="D109" s="138">
        <f>+D108/3</f>
        <v>4.1201460262611345E-2</v>
      </c>
      <c r="E109" s="138">
        <f>+E108/3</f>
        <v>5.2762249535301918E-2</v>
      </c>
      <c r="F109" s="138">
        <f>+F108/3</f>
        <v>5.303617847671608E-2</v>
      </c>
    </row>
    <row r="110" spans="1:19" x14ac:dyDescent="0.2">
      <c r="A110" s="1" t="s">
        <v>294</v>
      </c>
      <c r="B110" s="139">
        <f>+B98+B109</f>
        <v>0.10185099032773554</v>
      </c>
      <c r="C110" s="139">
        <f>+C98+C109</f>
        <v>0.32391061833325918</v>
      </c>
      <c r="D110" s="139">
        <f>+D100+D109</f>
        <v>0.14165775390136978</v>
      </c>
      <c r="E110" s="140">
        <f>+E99+E109</f>
        <v>8.5807672819018521E-2</v>
      </c>
      <c r="F110" s="140">
        <f>+F98+F109</f>
        <v>0.16231155707228676</v>
      </c>
    </row>
    <row r="111" spans="1:19" x14ac:dyDescent="0.2">
      <c r="B111" s="139">
        <f>+B110+B109</f>
        <v>0.15201682947099041</v>
      </c>
      <c r="C111" s="139">
        <f>+C110+C109</f>
        <v>0.37123883389299328</v>
      </c>
      <c r="D111" s="139">
        <f>+D110+D109</f>
        <v>0.18285921416398113</v>
      </c>
      <c r="E111" s="139">
        <f>+E110+E109</f>
        <v>0.13856992235432045</v>
      </c>
      <c r="F111" s="139">
        <f>+F110+F109</f>
        <v>0.21534773554900283</v>
      </c>
    </row>
    <row r="112" spans="1:19" x14ac:dyDescent="0.2">
      <c r="B112" s="138">
        <f>+B111+B109</f>
        <v>0.20218266861424528</v>
      </c>
      <c r="C112" s="138">
        <f>+C111+C109</f>
        <v>0.41856704945272738</v>
      </c>
      <c r="D112" s="138">
        <f>+D111+D109</f>
        <v>0.22406067442659247</v>
      </c>
      <c r="E112" s="138">
        <f>+E111+E109</f>
        <v>0.19133217188962237</v>
      </c>
      <c r="F112" s="138">
        <f>+F111+F109</f>
        <v>0.26838391402571893</v>
      </c>
    </row>
    <row r="115" spans="1:7" x14ac:dyDescent="0.2">
      <c r="G115" s="1">
        <v>100</v>
      </c>
    </row>
    <row r="117" spans="1:7" ht="51" x14ac:dyDescent="0.2">
      <c r="B117" s="145" t="s">
        <v>251</v>
      </c>
      <c r="C117" s="144" t="s">
        <v>250</v>
      </c>
      <c r="D117" s="143" t="s">
        <v>249</v>
      </c>
      <c r="E117" s="148" t="s">
        <v>253</v>
      </c>
      <c r="F117" s="146" t="s">
        <v>263</v>
      </c>
    </row>
    <row r="118" spans="1:7" x14ac:dyDescent="0.2">
      <c r="A118" s="49" t="s">
        <v>71</v>
      </c>
      <c r="B118" s="217">
        <f>+B96*$G$115</f>
        <v>20.218266861424528</v>
      </c>
      <c r="C118" s="217">
        <f t="shared" ref="C118:F118" si="64">+C96*$G$115</f>
        <v>41.856704945272732</v>
      </c>
      <c r="D118" s="217">
        <f t="shared" si="64"/>
        <v>19.75790877558558</v>
      </c>
      <c r="E118" s="217">
        <f t="shared" si="64"/>
        <v>19.133217188962238</v>
      </c>
      <c r="F118" s="217">
        <f t="shared" si="64"/>
        <v>26.838391402571894</v>
      </c>
    </row>
    <row r="119" spans="1:7" x14ac:dyDescent="0.2">
      <c r="A119" s="49" t="s">
        <v>224</v>
      </c>
      <c r="B119" s="217">
        <f t="shared" ref="B119:F125" si="65">+B97*$G$115</f>
        <v>6.1641694149632258</v>
      </c>
      <c r="C119" s="217">
        <f t="shared" si="65"/>
        <v>30.994819956710739</v>
      </c>
      <c r="D119" s="217">
        <f t="shared" si="65"/>
        <v>19.821952207960198</v>
      </c>
      <c r="E119" s="217">
        <f t="shared" si="65"/>
        <v>4.4988887516807967</v>
      </c>
      <c r="F119" s="217">
        <f t="shared" si="65"/>
        <v>12.808274942352471</v>
      </c>
    </row>
    <row r="120" spans="1:7" x14ac:dyDescent="0.2">
      <c r="A120" s="50" t="s">
        <v>73</v>
      </c>
      <c r="B120" s="217">
        <f t="shared" si="65"/>
        <v>5.1685151184480675</v>
      </c>
      <c r="C120" s="217">
        <f t="shared" si="65"/>
        <v>27.658240277352508</v>
      </c>
      <c r="D120" s="217">
        <f t="shared" si="65"/>
        <v>12.031462205882915</v>
      </c>
      <c r="E120" s="217">
        <f t="shared" si="65"/>
        <v>4.8321837713398281</v>
      </c>
      <c r="F120" s="217">
        <f t="shared" si="65"/>
        <v>10.927537859557068</v>
      </c>
    </row>
    <row r="121" spans="1:7" x14ac:dyDescent="0.2">
      <c r="A121" s="50" t="s">
        <v>225</v>
      </c>
      <c r="B121" s="217">
        <f t="shared" si="65"/>
        <v>10.005570795317466</v>
      </c>
      <c r="C121" s="217">
        <f t="shared" si="65"/>
        <v>29.777865882546408</v>
      </c>
      <c r="D121" s="217">
        <f t="shared" si="65"/>
        <v>15.954126727384752</v>
      </c>
      <c r="E121" s="217">
        <f t="shared" si="65"/>
        <v>3.3045423283716611</v>
      </c>
      <c r="F121" s="217">
        <f t="shared" si="65"/>
        <v>14.516188903328947</v>
      </c>
    </row>
    <row r="122" spans="1:7" x14ac:dyDescent="0.2">
      <c r="A122" s="51" t="s">
        <v>72</v>
      </c>
      <c r="B122" s="217">
        <f t="shared" si="65"/>
        <v>10.776312505723103</v>
      </c>
      <c r="C122" s="217">
        <f t="shared" si="65"/>
        <v>30.232202469277748</v>
      </c>
      <c r="D122" s="217">
        <f t="shared" si="65"/>
        <v>10.045629363875843</v>
      </c>
      <c r="E122" s="217">
        <f t="shared" si="65"/>
        <v>5.3768020235080263</v>
      </c>
      <c r="F122" s="217">
        <f t="shared" si="65"/>
        <v>15.080859902989385</v>
      </c>
    </row>
    <row r="123" spans="1:7" x14ac:dyDescent="0.2">
      <c r="A123" s="51" t="s">
        <v>152</v>
      </c>
      <c r="B123" s="217">
        <f t="shared" si="65"/>
        <v>10.933788690159293</v>
      </c>
      <c r="C123" s="217">
        <f t="shared" si="65"/>
        <v>34.360880930172577</v>
      </c>
      <c r="D123" s="217">
        <f t="shared" si="65"/>
        <v>16.184082075800855</v>
      </c>
      <c r="E123" s="217">
        <f t="shared" si="65"/>
        <v>7.5119904153293486</v>
      </c>
      <c r="F123" s="217">
        <f t="shared" si="65"/>
        <v>17.314832558237669</v>
      </c>
    </row>
    <row r="124" spans="1:7" x14ac:dyDescent="0.2">
      <c r="A124" s="52" t="s">
        <v>226</v>
      </c>
      <c r="B124" s="217">
        <f t="shared" si="65"/>
        <v>5.7278194804069136</v>
      </c>
      <c r="C124" s="217">
        <f t="shared" si="65"/>
        <v>28.264653942729151</v>
      </c>
      <c r="D124" s="217">
        <f t="shared" si="65"/>
        <v>22.406067442659246</v>
      </c>
      <c r="E124" s="217">
        <f t="shared" si="65"/>
        <v>4.6733285782191691</v>
      </c>
      <c r="F124" s="217">
        <f t="shared" si="65"/>
        <v>12.181265062479946</v>
      </c>
    </row>
    <row r="125" spans="1:7" x14ac:dyDescent="0.2">
      <c r="A125" s="49" t="s">
        <v>227</v>
      </c>
      <c r="B125" s="217">
        <f t="shared" si="65"/>
        <v>7.635597591933954</v>
      </c>
      <c r="C125" s="217">
        <f t="shared" si="65"/>
        <v>29.583453330828608</v>
      </c>
      <c r="D125" s="217">
        <f t="shared" si="65"/>
        <v>17.448600864801119</v>
      </c>
      <c r="E125" s="217">
        <f t="shared" si="65"/>
        <v>3.7749172176353749</v>
      </c>
      <c r="F125" s="217">
        <f t="shared" si="65"/>
        <v>13.286896879257462</v>
      </c>
    </row>
    <row r="130" spans="1:11" ht="38.25" x14ac:dyDescent="0.2">
      <c r="B130" s="145" t="s">
        <v>251</v>
      </c>
    </row>
    <row r="131" spans="1:11" x14ac:dyDescent="0.2">
      <c r="A131" s="50" t="s">
        <v>73</v>
      </c>
      <c r="B131" s="190">
        <v>5.1685151184480675</v>
      </c>
    </row>
    <row r="132" spans="1:11" x14ac:dyDescent="0.2">
      <c r="A132" s="52" t="s">
        <v>226</v>
      </c>
      <c r="B132" s="192">
        <v>5.7278194804069136</v>
      </c>
    </row>
    <row r="133" spans="1:11" x14ac:dyDescent="0.2">
      <c r="A133" s="49" t="s">
        <v>224</v>
      </c>
      <c r="B133" s="190">
        <v>6.1641694149632258</v>
      </c>
      <c r="K133" s="146" t="s">
        <v>263</v>
      </c>
    </row>
    <row r="134" spans="1:11" x14ac:dyDescent="0.2">
      <c r="A134" s="49" t="s">
        <v>227</v>
      </c>
      <c r="B134" s="191">
        <v>7.635597591933954</v>
      </c>
      <c r="J134" s="49" t="s">
        <v>71</v>
      </c>
      <c r="K134" s="181">
        <v>26.838391402571894</v>
      </c>
    </row>
    <row r="135" spans="1:11" x14ac:dyDescent="0.2">
      <c r="A135" s="50" t="s">
        <v>225</v>
      </c>
      <c r="B135" s="190">
        <v>10.005570795317466</v>
      </c>
      <c r="J135" s="49" t="s">
        <v>152</v>
      </c>
      <c r="K135" s="182">
        <v>17.314832558237669</v>
      </c>
    </row>
    <row r="136" spans="1:11" x14ac:dyDescent="0.2">
      <c r="A136" s="51" t="s">
        <v>72</v>
      </c>
      <c r="B136" s="192">
        <v>10.776312505723103</v>
      </c>
      <c r="J136" s="49" t="s">
        <v>72</v>
      </c>
      <c r="K136" s="182">
        <v>15.080859902989385</v>
      </c>
    </row>
    <row r="137" spans="1:11" x14ac:dyDescent="0.2">
      <c r="A137" s="51" t="s">
        <v>152</v>
      </c>
      <c r="B137" s="192">
        <v>10.933788690159293</v>
      </c>
      <c r="J137" s="50" t="s">
        <v>225</v>
      </c>
      <c r="K137" s="182">
        <v>14.516188903328947</v>
      </c>
    </row>
    <row r="138" spans="1:11" x14ac:dyDescent="0.2">
      <c r="A138" s="49" t="s">
        <v>71</v>
      </c>
      <c r="B138" s="189">
        <v>20.218266861424528</v>
      </c>
      <c r="J138" s="50" t="s">
        <v>227</v>
      </c>
      <c r="K138" s="184">
        <v>13.286896879257462</v>
      </c>
    </row>
    <row r="139" spans="1:11" x14ac:dyDescent="0.2">
      <c r="J139" s="51" t="s">
        <v>224</v>
      </c>
      <c r="K139" s="183">
        <v>12.808274942352471</v>
      </c>
    </row>
    <row r="140" spans="1:11" x14ac:dyDescent="0.2">
      <c r="J140" s="52" t="s">
        <v>226</v>
      </c>
      <c r="K140" s="182">
        <v>12.181265062479946</v>
      </c>
    </row>
    <row r="141" spans="1:11" x14ac:dyDescent="0.2">
      <c r="J141" s="51" t="s">
        <v>73</v>
      </c>
      <c r="K141" s="183">
        <v>10.927537859557068</v>
      </c>
    </row>
    <row r="147" spans="1:2" ht="25.5" x14ac:dyDescent="0.2">
      <c r="B147" s="144" t="s">
        <v>250</v>
      </c>
    </row>
    <row r="148" spans="1:2" x14ac:dyDescent="0.2">
      <c r="A148" s="50" t="s">
        <v>73</v>
      </c>
      <c r="B148" s="190">
        <v>27.658240277352508</v>
      </c>
    </row>
    <row r="149" spans="1:2" x14ac:dyDescent="0.2">
      <c r="A149" s="52" t="s">
        <v>226</v>
      </c>
      <c r="B149" s="192">
        <v>28.264653942729151</v>
      </c>
    </row>
    <row r="150" spans="1:2" x14ac:dyDescent="0.2">
      <c r="A150" s="49" t="s">
        <v>227</v>
      </c>
      <c r="B150" s="191">
        <v>29.583453330828608</v>
      </c>
    </row>
    <row r="151" spans="1:2" x14ac:dyDescent="0.2">
      <c r="A151" s="50" t="s">
        <v>225</v>
      </c>
      <c r="B151" s="190">
        <v>29.777865882546408</v>
      </c>
    </row>
    <row r="152" spans="1:2" x14ac:dyDescent="0.2">
      <c r="A152" s="51" t="s">
        <v>72</v>
      </c>
      <c r="B152" s="190">
        <v>30.232202469277748</v>
      </c>
    </row>
    <row r="153" spans="1:2" x14ac:dyDescent="0.2">
      <c r="A153" s="49" t="s">
        <v>224</v>
      </c>
      <c r="B153" s="190">
        <v>30.994819956710739</v>
      </c>
    </row>
    <row r="154" spans="1:2" x14ac:dyDescent="0.2">
      <c r="A154" s="51" t="s">
        <v>152</v>
      </c>
      <c r="B154" s="192">
        <v>34.360880930172577</v>
      </c>
    </row>
    <row r="155" spans="1:2" x14ac:dyDescent="0.2">
      <c r="A155" s="49" t="s">
        <v>71</v>
      </c>
      <c r="B155" s="190">
        <v>41.856704945272732</v>
      </c>
    </row>
    <row r="165" spans="1:2" ht="38.25" x14ac:dyDescent="0.2">
      <c r="B165" s="143" t="s">
        <v>249</v>
      </c>
    </row>
    <row r="166" spans="1:2" x14ac:dyDescent="0.2">
      <c r="A166" s="51" t="s">
        <v>72</v>
      </c>
      <c r="B166" s="189">
        <v>10.045629363875843</v>
      </c>
    </row>
    <row r="167" spans="1:2" x14ac:dyDescent="0.2">
      <c r="A167" s="50" t="s">
        <v>73</v>
      </c>
      <c r="B167" s="189">
        <v>12.031462205882915</v>
      </c>
    </row>
    <row r="168" spans="1:2" x14ac:dyDescent="0.2">
      <c r="A168" s="50" t="s">
        <v>225</v>
      </c>
      <c r="B168" s="190">
        <v>15.954126727384752</v>
      </c>
    </row>
    <row r="169" spans="1:2" x14ac:dyDescent="0.2">
      <c r="A169" s="51" t="s">
        <v>152</v>
      </c>
      <c r="B169" s="190">
        <v>16.184082075800855</v>
      </c>
    </row>
    <row r="170" spans="1:2" x14ac:dyDescent="0.2">
      <c r="A170" s="49" t="s">
        <v>227</v>
      </c>
      <c r="B170" s="190">
        <v>17.448600864801119</v>
      </c>
    </row>
    <row r="171" spans="1:2" x14ac:dyDescent="0.2">
      <c r="A171" s="49" t="s">
        <v>71</v>
      </c>
      <c r="B171" s="191">
        <v>19.75790877558558</v>
      </c>
    </row>
    <row r="172" spans="1:2" x14ac:dyDescent="0.2">
      <c r="A172" s="49" t="s">
        <v>224</v>
      </c>
      <c r="B172" s="191">
        <v>19.821952207960198</v>
      </c>
    </row>
    <row r="173" spans="1:2" x14ac:dyDescent="0.2">
      <c r="A173" s="52" t="s">
        <v>226</v>
      </c>
      <c r="B173" s="191">
        <v>22.406067442659246</v>
      </c>
    </row>
    <row r="182" spans="1:2" ht="25.5" x14ac:dyDescent="0.2">
      <c r="B182" s="148" t="s">
        <v>253</v>
      </c>
    </row>
    <row r="183" spans="1:2" x14ac:dyDescent="0.2">
      <c r="A183" s="50" t="s">
        <v>225</v>
      </c>
      <c r="B183" s="185">
        <v>3.3045423283716611</v>
      </c>
    </row>
    <row r="184" spans="1:2" x14ac:dyDescent="0.2">
      <c r="A184" s="49" t="s">
        <v>227</v>
      </c>
      <c r="B184" s="185">
        <v>3.7749172176353749</v>
      </c>
    </row>
    <row r="185" spans="1:2" x14ac:dyDescent="0.2">
      <c r="A185" s="49" t="s">
        <v>224</v>
      </c>
      <c r="B185" s="186">
        <v>4.4988887516807967</v>
      </c>
    </row>
    <row r="186" spans="1:2" x14ac:dyDescent="0.2">
      <c r="A186" s="52" t="s">
        <v>226</v>
      </c>
      <c r="B186" s="186">
        <v>4.6733285782191691</v>
      </c>
    </row>
    <row r="187" spans="1:2" x14ac:dyDescent="0.2">
      <c r="A187" s="50" t="s">
        <v>73</v>
      </c>
      <c r="B187" s="186">
        <v>4.8321837713398281</v>
      </c>
    </row>
    <row r="188" spans="1:2" x14ac:dyDescent="0.2">
      <c r="A188" s="51" t="s">
        <v>72</v>
      </c>
      <c r="B188" s="186">
        <v>5.3768020235080263</v>
      </c>
    </row>
    <row r="189" spans="1:2" x14ac:dyDescent="0.2">
      <c r="A189" s="51" t="s">
        <v>152</v>
      </c>
      <c r="B189" s="187">
        <v>7.5119904153293486</v>
      </c>
    </row>
    <row r="190" spans="1:2" x14ac:dyDescent="0.2">
      <c r="A190" s="49" t="s">
        <v>71</v>
      </c>
      <c r="B190" s="188">
        <v>19.133217188962238</v>
      </c>
    </row>
    <row r="198" spans="1:1" x14ac:dyDescent="0.2">
      <c r="A198" s="1" t="s">
        <v>72</v>
      </c>
    </row>
    <row r="199" spans="1:1" x14ac:dyDescent="0.2">
      <c r="A199" s="1" t="s">
        <v>71</v>
      </c>
    </row>
    <row r="200" spans="1:1" x14ac:dyDescent="0.2">
      <c r="A200" s="1" t="s">
        <v>227</v>
      </c>
    </row>
    <row r="201" spans="1:1" x14ac:dyDescent="0.2">
      <c r="A201" s="1" t="s">
        <v>225</v>
      </c>
    </row>
    <row r="202" spans="1:1" x14ac:dyDescent="0.2">
      <c r="A202" s="1" t="s">
        <v>224</v>
      </c>
    </row>
    <row r="203" spans="1:1" x14ac:dyDescent="0.2">
      <c r="A203" s="1" t="s">
        <v>73</v>
      </c>
    </row>
    <row r="204" spans="1:1" x14ac:dyDescent="0.2">
      <c r="A204" s="1" t="s">
        <v>226</v>
      </c>
    </row>
    <row r="205" spans="1:1" x14ac:dyDescent="0.2">
      <c r="A205" s="1" t="s">
        <v>152</v>
      </c>
    </row>
    <row r="211" spans="1:17" ht="31.5" x14ac:dyDescent="0.2">
      <c r="A211" s="222" t="s">
        <v>314</v>
      </c>
      <c r="B211" s="205" t="s">
        <v>309</v>
      </c>
      <c r="C211" s="205" t="s">
        <v>310</v>
      </c>
      <c r="D211" s="205" t="s">
        <v>315</v>
      </c>
      <c r="E211" s="205" t="s">
        <v>312</v>
      </c>
      <c r="F211" s="205" t="s">
        <v>311</v>
      </c>
    </row>
    <row r="212" spans="1:17" ht="31.5" x14ac:dyDescent="0.25">
      <c r="A212" s="222"/>
      <c r="B212" s="235" t="s">
        <v>251</v>
      </c>
      <c r="C212" s="196" t="s">
        <v>222</v>
      </c>
      <c r="D212" s="200">
        <v>1</v>
      </c>
      <c r="E212" s="199">
        <v>25</v>
      </c>
      <c r="F212" s="232">
        <v>40</v>
      </c>
      <c r="G212"/>
      <c r="H212"/>
      <c r="I212"/>
      <c r="J212"/>
      <c r="K212"/>
    </row>
    <row r="213" spans="1:17" ht="21" x14ac:dyDescent="0.2">
      <c r="A213" s="222"/>
      <c r="B213" s="235"/>
      <c r="C213" s="196" t="s">
        <v>160</v>
      </c>
      <c r="D213" s="200">
        <v>1</v>
      </c>
      <c r="E213" s="199">
        <v>25</v>
      </c>
      <c r="F213" s="233"/>
    </row>
    <row r="214" spans="1:17" ht="21" x14ac:dyDescent="0.2">
      <c r="A214" s="222"/>
      <c r="B214" s="235"/>
      <c r="C214" s="196" t="s">
        <v>168</v>
      </c>
      <c r="D214" s="200">
        <v>2</v>
      </c>
      <c r="E214" s="199">
        <v>25</v>
      </c>
      <c r="F214" s="233"/>
    </row>
    <row r="215" spans="1:17" ht="21" x14ac:dyDescent="0.25">
      <c r="A215" s="222"/>
      <c r="B215" s="235"/>
      <c r="C215" s="196" t="s">
        <v>238</v>
      </c>
      <c r="D215" s="200">
        <v>5</v>
      </c>
      <c r="E215" s="199">
        <v>25</v>
      </c>
      <c r="F215" s="234"/>
      <c r="G215"/>
      <c r="H215"/>
      <c r="I215"/>
      <c r="J215"/>
      <c r="K215"/>
      <c r="L215"/>
      <c r="M215"/>
      <c r="N215"/>
      <c r="O215"/>
      <c r="P215"/>
      <c r="Q215"/>
    </row>
    <row r="216" spans="1:17" ht="21" x14ac:dyDescent="0.25">
      <c r="A216" s="222"/>
      <c r="B216" s="236" t="s">
        <v>250</v>
      </c>
      <c r="C216" s="206" t="s">
        <v>177</v>
      </c>
      <c r="D216" s="208">
        <v>3</v>
      </c>
      <c r="E216" s="207">
        <v>11.1</v>
      </c>
      <c r="F216" s="223">
        <v>40</v>
      </c>
      <c r="G216"/>
      <c r="H216"/>
      <c r="I216"/>
      <c r="J216"/>
      <c r="K216"/>
      <c r="L216"/>
      <c r="M216"/>
      <c r="N216"/>
      <c r="O216"/>
      <c r="P216"/>
      <c r="Q216"/>
    </row>
    <row r="217" spans="1:17" ht="21" x14ac:dyDescent="0.25">
      <c r="A217" s="222"/>
      <c r="B217" s="236"/>
      <c r="C217" s="206" t="s">
        <v>239</v>
      </c>
      <c r="D217" s="208">
        <v>1</v>
      </c>
      <c r="E217" s="207">
        <v>11.1</v>
      </c>
      <c r="F217" s="224"/>
      <c r="G217"/>
      <c r="H217"/>
      <c r="I217"/>
      <c r="J217"/>
      <c r="K217"/>
      <c r="L217"/>
      <c r="M217"/>
      <c r="N217"/>
      <c r="O217"/>
      <c r="P217"/>
      <c r="Q217"/>
    </row>
    <row r="218" spans="1:17" ht="21" x14ac:dyDescent="0.2">
      <c r="A218" s="222"/>
      <c r="B218" s="236"/>
      <c r="C218" s="206" t="s">
        <v>240</v>
      </c>
      <c r="D218" s="208">
        <v>2</v>
      </c>
      <c r="E218" s="207">
        <v>11.1</v>
      </c>
      <c r="F218" s="224"/>
    </row>
    <row r="219" spans="1:17" ht="21" x14ac:dyDescent="0.2">
      <c r="A219" s="222"/>
      <c r="B219" s="236"/>
      <c r="C219" s="206" t="s">
        <v>241</v>
      </c>
      <c r="D219" s="208">
        <v>1</v>
      </c>
      <c r="E219" s="207">
        <v>11.1</v>
      </c>
      <c r="F219" s="224"/>
    </row>
    <row r="220" spans="1:17" ht="21" x14ac:dyDescent="0.2">
      <c r="A220" s="222"/>
      <c r="B220" s="236"/>
      <c r="C220" s="206" t="s">
        <v>242</v>
      </c>
      <c r="D220" s="208">
        <v>3</v>
      </c>
      <c r="E220" s="207">
        <v>11.1</v>
      </c>
      <c r="F220" s="224"/>
    </row>
    <row r="221" spans="1:17" x14ac:dyDescent="0.2">
      <c r="A221" s="222"/>
      <c r="B221" s="236"/>
      <c r="C221" s="206" t="s">
        <v>187</v>
      </c>
      <c r="D221" s="208">
        <v>1</v>
      </c>
      <c r="E221" s="207">
        <v>11.1</v>
      </c>
      <c r="F221" s="224"/>
    </row>
    <row r="222" spans="1:17" ht="21" x14ac:dyDescent="0.2">
      <c r="A222" s="222"/>
      <c r="B222" s="236"/>
      <c r="C222" s="206" t="s">
        <v>189</v>
      </c>
      <c r="D222" s="208">
        <v>1</v>
      </c>
      <c r="E222" s="207">
        <v>11.1</v>
      </c>
      <c r="F222" s="224"/>
    </row>
    <row r="223" spans="1:17" ht="31.5" x14ac:dyDescent="0.2">
      <c r="A223" s="222"/>
      <c r="B223" s="236"/>
      <c r="C223" s="206" t="s">
        <v>192</v>
      </c>
      <c r="D223" s="208">
        <v>2</v>
      </c>
      <c r="E223" s="207">
        <v>11.1</v>
      </c>
      <c r="F223" s="224"/>
      <c r="J223" s="1">
        <f>34/63</f>
        <v>0.53968253968253965</v>
      </c>
    </row>
    <row r="224" spans="1:17" ht="21" x14ac:dyDescent="0.2">
      <c r="A224" s="222"/>
      <c r="B224" s="236"/>
      <c r="C224" s="206" t="s">
        <v>197</v>
      </c>
      <c r="D224" s="208">
        <v>4</v>
      </c>
      <c r="E224" s="207">
        <v>11.1</v>
      </c>
      <c r="F224" s="225"/>
    </row>
    <row r="225" spans="1:6" ht="31.5" x14ac:dyDescent="0.2">
      <c r="A225" s="222"/>
      <c r="B225" s="202" t="s">
        <v>249</v>
      </c>
      <c r="C225" s="201" t="s">
        <v>248</v>
      </c>
      <c r="D225" s="203">
        <v>5</v>
      </c>
      <c r="E225" s="203">
        <v>100</v>
      </c>
      <c r="F225" s="203">
        <v>10</v>
      </c>
    </row>
    <row r="226" spans="1:6" ht="21" x14ac:dyDescent="0.2">
      <c r="A226" s="222"/>
      <c r="B226" s="198" t="s">
        <v>253</v>
      </c>
      <c r="C226" s="197" t="s">
        <v>252</v>
      </c>
      <c r="D226" s="204">
        <v>2</v>
      </c>
      <c r="E226" s="204">
        <v>100</v>
      </c>
      <c r="F226" s="204">
        <v>10</v>
      </c>
    </row>
  </sheetData>
  <sortState xmlns:xlrd2="http://schemas.microsoft.com/office/spreadsheetml/2017/richdata2" ref="J135:K141">
    <sortCondition descending="1" ref="K134"/>
  </sortState>
  <mergeCells count="99">
    <mergeCell ref="L5:P5"/>
    <mergeCell ref="DX5:EF5"/>
    <mergeCell ref="GO5:KQ5"/>
    <mergeCell ref="KR5:PA5"/>
    <mergeCell ref="F212:F215"/>
    <mergeCell ref="F216:F224"/>
    <mergeCell ref="AJ8:AK9"/>
    <mergeCell ref="AL8:AM9"/>
    <mergeCell ref="AN9:AO9"/>
    <mergeCell ref="B37:E37"/>
    <mergeCell ref="B51:J51"/>
    <mergeCell ref="AI7:BL7"/>
    <mergeCell ref="BP8:BP9"/>
    <mergeCell ref="BQ8:BQ9"/>
    <mergeCell ref="R22:S22"/>
    <mergeCell ref="R23:S23"/>
    <mergeCell ref="F23:G23"/>
    <mergeCell ref="AY9:AZ9"/>
    <mergeCell ref="BB9:BC9"/>
    <mergeCell ref="BD9:BE9"/>
    <mergeCell ref="BF9:BG9"/>
    <mergeCell ref="DF8:DF9"/>
    <mergeCell ref="B8:B9"/>
    <mergeCell ref="AI8:AI9"/>
    <mergeCell ref="BO8:BO9"/>
    <mergeCell ref="BM7:BM9"/>
    <mergeCell ref="BN7:BN9"/>
    <mergeCell ref="AN8:AX8"/>
    <mergeCell ref="AY8:BJ8"/>
    <mergeCell ref="BK8:BK9"/>
    <mergeCell ref="BL8:BL9"/>
    <mergeCell ref="D8:J8"/>
    <mergeCell ref="K8:AF8"/>
    <mergeCell ref="AH8:AH9"/>
    <mergeCell ref="AG8:AG9"/>
    <mergeCell ref="D7:AH7"/>
    <mergeCell ref="EB7:EZ7"/>
    <mergeCell ref="DN8:DN9"/>
    <mergeCell ref="DO8:DO9"/>
    <mergeCell ref="DG8:DM8"/>
    <mergeCell ref="DP8:DP9"/>
    <mergeCell ref="DQ8:DQ9"/>
    <mergeCell ref="DG7:DQ7"/>
    <mergeCell ref="DR8:DZ8"/>
    <mergeCell ref="DR7:DZ7"/>
    <mergeCell ref="EA8:EA9"/>
    <mergeCell ref="EB8:EB9"/>
    <mergeCell ref="EC8:EX8"/>
    <mergeCell ref="EY8:EY9"/>
    <mergeCell ref="EZ8:EZ9"/>
    <mergeCell ref="FA8:FA9"/>
    <mergeCell ref="FV8:FV9"/>
    <mergeCell ref="FQ8:FQ9"/>
    <mergeCell ref="FR8:FR9"/>
    <mergeCell ref="FS7:FS9"/>
    <mergeCell ref="FB8:FH8"/>
    <mergeCell ref="GB6:GE6"/>
    <mergeCell ref="FZ8:FZ9"/>
    <mergeCell ref="GD8:GD9"/>
    <mergeCell ref="FT7:FT9"/>
    <mergeCell ref="FU7:GA7"/>
    <mergeCell ref="GC8:GC9"/>
    <mergeCell ref="GA8:GA9"/>
    <mergeCell ref="FY8:FY9"/>
    <mergeCell ref="GB8:GB9"/>
    <mergeCell ref="FW8:FW9"/>
    <mergeCell ref="FX8:FX9"/>
    <mergeCell ref="B6:BN6"/>
    <mergeCell ref="B23:C23"/>
    <mergeCell ref="D23:E23"/>
    <mergeCell ref="GE8:GE9"/>
    <mergeCell ref="GB7:GE7"/>
    <mergeCell ref="BR8:BR9"/>
    <mergeCell ref="BS8:BS9"/>
    <mergeCell ref="BO7:BS7"/>
    <mergeCell ref="BT8:CE8"/>
    <mergeCell ref="BT7:CE7"/>
    <mergeCell ref="CF8:CQ8"/>
    <mergeCell ref="CR8:DC8"/>
    <mergeCell ref="DD8:DD9"/>
    <mergeCell ref="DE8:DE9"/>
    <mergeCell ref="CF7:DE7"/>
    <mergeCell ref="FI8:FI9"/>
    <mergeCell ref="A211:A226"/>
    <mergeCell ref="B212:B215"/>
    <mergeCell ref="B216:B224"/>
    <mergeCell ref="FU6:GA6"/>
    <mergeCell ref="H23:I23"/>
    <mergeCell ref="J23:K23"/>
    <mergeCell ref="J22:K22"/>
    <mergeCell ref="L22:M22"/>
    <mergeCell ref="L23:M23"/>
    <mergeCell ref="N22:O22"/>
    <mergeCell ref="N23:O23"/>
    <mergeCell ref="P22:Q22"/>
    <mergeCell ref="P23:Q23"/>
    <mergeCell ref="BO6:FT6"/>
    <mergeCell ref="FJ8:FP8"/>
    <mergeCell ref="FA7:FR7"/>
  </mergeCells>
  <pageMargins left="0.7" right="0.7" top="0.75" bottom="0.75" header="0.3" footer="0.3"/>
  <pageSetup orientation="portrait" verticalDpi="0" r:id="rId1"/>
  <ignoredErrors>
    <ignoredError sqref="EW11:EW15 BM12:BM19 BN12:BN19 DL11:DL19 DM11:DM19 EW16:EW19 EX11:EX19 FG12:FG13 FH11:FH19 FO11:FP19 I12:J19 FG15:FG1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1A3F2D0-2970-4B3D-84D3-74BCBED720B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Nacional</vt:lpstr>
      <vt:lpstr>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Riascos Riascos</dc:creator>
  <cp:lastModifiedBy>Miguel Andres  Duran</cp:lastModifiedBy>
  <dcterms:created xsi:type="dcterms:W3CDTF">2018-03-05T13:50:12Z</dcterms:created>
  <dcterms:modified xsi:type="dcterms:W3CDTF">2020-06-24T19:53:48Z</dcterms:modified>
</cp:coreProperties>
</file>